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fileSharing readOnlyRecommended="1" userName="Microsoft Office User" reservationPassword="DDC9"/>
  <workbookPr/>
  <mc:AlternateContent xmlns:mc="http://schemas.openxmlformats.org/markup-compatibility/2006">
    <mc:Choice Requires="x15">
      <x15ac:absPath xmlns:x15ac="http://schemas.microsoft.com/office/spreadsheetml/2010/11/ac" url="/Users/Carl/Dropbox/Lawton Hall Management/FINANCE/BUDGETS/BUDGET 2020-21 FINAL/"/>
    </mc:Choice>
  </mc:AlternateContent>
  <bookViews>
    <workbookView xWindow="0" yWindow="460" windowWidth="28800" windowHeight="17540"/>
  </bookViews>
  <sheets>
    <sheet name="Budget 2019-2020 FINAL" sheetId="1" r:id="rId1"/>
    <sheet name="Notes" sheetId="6" r:id="rId2"/>
    <sheet name="Budget 2017-2018" sheetId="2" state="hidden" r:id="rId3"/>
    <sheet name="Assumptions" sheetId="4" r:id="rId4"/>
    <sheet name="Allocation Matrix" sheetId="5" r:id="rId5"/>
  </sheets>
  <externalReferences>
    <externalReference r:id="rId6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5" i="1"/>
  <c r="O25" i="1"/>
  <c r="O28" i="1"/>
  <c r="O29" i="1"/>
  <c r="O30" i="1"/>
  <c r="O31" i="1"/>
  <c r="O32" i="1"/>
  <c r="O33" i="1"/>
  <c r="O35" i="1"/>
  <c r="AI42" i="5"/>
  <c r="AH42" i="5"/>
  <c r="I7" i="5"/>
  <c r="H42" i="5"/>
  <c r="H7" i="5"/>
  <c r="R42" i="5"/>
  <c r="R7" i="5"/>
  <c r="V7" i="5"/>
  <c r="I8" i="5"/>
  <c r="H8" i="5"/>
  <c r="R8" i="5"/>
  <c r="V8" i="5"/>
  <c r="I9" i="5"/>
  <c r="H9" i="5"/>
  <c r="R9" i="5"/>
  <c r="V9" i="5"/>
  <c r="I10" i="5"/>
  <c r="H10" i="5"/>
  <c r="R10" i="5"/>
  <c r="V10" i="5"/>
  <c r="I11" i="5"/>
  <c r="H11" i="5"/>
  <c r="R11" i="5"/>
  <c r="V11" i="5"/>
  <c r="I12" i="5"/>
  <c r="H12" i="5"/>
  <c r="R12" i="5"/>
  <c r="V12" i="5"/>
  <c r="I13" i="5"/>
  <c r="H13" i="5"/>
  <c r="R13" i="5"/>
  <c r="V13" i="5"/>
  <c r="I14" i="5"/>
  <c r="H14" i="5"/>
  <c r="V14" i="5"/>
  <c r="I15" i="5"/>
  <c r="H15" i="5"/>
  <c r="T42" i="5"/>
  <c r="T15" i="5"/>
  <c r="V15" i="5"/>
  <c r="I16" i="5"/>
  <c r="H16" i="5"/>
  <c r="T16" i="5"/>
  <c r="V16" i="5"/>
  <c r="I17" i="5"/>
  <c r="H17" i="5"/>
  <c r="T17" i="5"/>
  <c r="V17" i="5"/>
  <c r="I18" i="5"/>
  <c r="H18" i="5"/>
  <c r="T18" i="5"/>
  <c r="V18" i="5"/>
  <c r="I19" i="5"/>
  <c r="H19" i="5"/>
  <c r="T19" i="5"/>
  <c r="V19" i="5"/>
  <c r="I20" i="5"/>
  <c r="H20" i="5"/>
  <c r="T20" i="5"/>
  <c r="V20" i="5"/>
  <c r="I21" i="5"/>
  <c r="H21" i="5"/>
  <c r="T21" i="5"/>
  <c r="V21" i="5"/>
  <c r="I22" i="5"/>
  <c r="H22" i="5"/>
  <c r="T22" i="5"/>
  <c r="V22" i="5"/>
  <c r="I23" i="5"/>
  <c r="H23" i="5"/>
  <c r="T23" i="5"/>
  <c r="V23" i="5"/>
  <c r="I24" i="5"/>
  <c r="H24" i="5"/>
  <c r="T24" i="5"/>
  <c r="V24" i="5"/>
  <c r="I25" i="5"/>
  <c r="H25" i="5"/>
  <c r="T25" i="5"/>
  <c r="V25" i="5"/>
  <c r="I26" i="5"/>
  <c r="H26" i="5"/>
  <c r="T26" i="5"/>
  <c r="V26" i="5"/>
  <c r="I27" i="5"/>
  <c r="H27" i="5"/>
  <c r="G27" i="5"/>
  <c r="M27" i="5"/>
  <c r="L42" i="5"/>
  <c r="L27" i="5"/>
  <c r="P42" i="5"/>
  <c r="P27" i="5"/>
  <c r="V27" i="5"/>
  <c r="I28" i="5"/>
  <c r="H28" i="5"/>
  <c r="M28" i="5"/>
  <c r="L28" i="5"/>
  <c r="P28" i="5"/>
  <c r="V28" i="5"/>
  <c r="I29" i="5"/>
  <c r="H29" i="5"/>
  <c r="M29" i="5"/>
  <c r="L29" i="5"/>
  <c r="P29" i="5"/>
  <c r="V29" i="5"/>
  <c r="I30" i="5"/>
  <c r="H30" i="5"/>
  <c r="M30" i="5"/>
  <c r="L30" i="5"/>
  <c r="N42" i="5"/>
  <c r="N30" i="5"/>
  <c r="P30" i="5"/>
  <c r="V30" i="5"/>
  <c r="I31" i="5"/>
  <c r="H31" i="5"/>
  <c r="M31" i="5"/>
  <c r="L31" i="5"/>
  <c r="P31" i="5"/>
  <c r="V31" i="5"/>
  <c r="I32" i="5"/>
  <c r="H32" i="5"/>
  <c r="M32" i="5"/>
  <c r="L32" i="5"/>
  <c r="P32" i="5"/>
  <c r="V32" i="5"/>
  <c r="I33" i="5"/>
  <c r="H33" i="5"/>
  <c r="M33" i="5"/>
  <c r="L33" i="5"/>
  <c r="P33" i="5"/>
  <c r="V33" i="5"/>
  <c r="I34" i="5"/>
  <c r="H34" i="5"/>
  <c r="M34" i="5"/>
  <c r="L34" i="5"/>
  <c r="N34" i="5"/>
  <c r="P34" i="5"/>
  <c r="V34" i="5"/>
  <c r="I35" i="5"/>
  <c r="H35" i="5"/>
  <c r="M35" i="5"/>
  <c r="L35" i="5"/>
  <c r="N35" i="5"/>
  <c r="P35" i="5"/>
  <c r="V35" i="5"/>
  <c r="I36" i="5"/>
  <c r="H36" i="5"/>
  <c r="J42" i="5"/>
  <c r="J36" i="5"/>
  <c r="V36" i="5"/>
  <c r="I37" i="5"/>
  <c r="H37" i="5"/>
  <c r="J37" i="5"/>
  <c r="V37" i="5"/>
  <c r="I38" i="5"/>
  <c r="H38" i="5"/>
  <c r="J38" i="5"/>
  <c r="V38" i="5"/>
  <c r="I39" i="5"/>
  <c r="H39" i="5"/>
  <c r="J39" i="5"/>
  <c r="V39" i="5"/>
  <c r="I40" i="5"/>
  <c r="H40" i="5"/>
  <c r="J40" i="5"/>
  <c r="V40" i="5"/>
  <c r="V42" i="5"/>
  <c r="AB42" i="5"/>
  <c r="AD42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2" i="5"/>
  <c r="W42" i="5"/>
  <c r="Q27" i="5"/>
  <c r="Q42" i="5"/>
  <c r="O42" i="5"/>
  <c r="M42" i="5"/>
  <c r="K42" i="5"/>
  <c r="I42" i="5"/>
  <c r="AD40" i="5"/>
  <c r="Z40" i="5"/>
  <c r="AD39" i="5"/>
  <c r="Z39" i="5"/>
  <c r="AD38" i="5"/>
  <c r="Z38" i="5"/>
  <c r="AD37" i="5"/>
  <c r="Z37" i="5"/>
  <c r="AD36" i="5"/>
  <c r="Z36" i="5"/>
  <c r="AD35" i="5"/>
  <c r="Z35" i="5"/>
  <c r="Q35" i="5"/>
  <c r="AD34" i="5"/>
  <c r="Z34" i="5"/>
  <c r="Q34" i="5"/>
  <c r="AD33" i="5"/>
  <c r="Z33" i="5"/>
  <c r="Q33" i="5"/>
  <c r="AD32" i="5"/>
  <c r="Z32" i="5"/>
  <c r="Q32" i="5"/>
  <c r="AD31" i="5"/>
  <c r="Z31" i="5"/>
  <c r="Q31" i="5"/>
  <c r="AD30" i="5"/>
  <c r="Z30" i="5"/>
  <c r="Q30" i="5"/>
  <c r="AD29" i="5"/>
  <c r="Z29" i="5"/>
  <c r="Q29" i="5"/>
  <c r="AD28" i="5"/>
  <c r="Z28" i="5"/>
  <c r="Q28" i="5"/>
  <c r="AD27" i="5"/>
  <c r="Z27" i="5"/>
  <c r="AD26" i="5"/>
  <c r="Z26" i="5"/>
  <c r="AD25" i="5"/>
  <c r="Z25" i="5"/>
  <c r="AD24" i="5"/>
  <c r="Z24" i="5"/>
  <c r="AD23" i="5"/>
  <c r="Z23" i="5"/>
  <c r="AD22" i="5"/>
  <c r="Z22" i="5"/>
  <c r="AD21" i="5"/>
  <c r="Z21" i="5"/>
  <c r="AD20" i="5"/>
  <c r="Z20" i="5"/>
  <c r="AD19" i="5"/>
  <c r="Z19" i="5"/>
  <c r="AD18" i="5"/>
  <c r="Z18" i="5"/>
  <c r="AD17" i="5"/>
  <c r="Z17" i="5"/>
  <c r="AD16" i="5"/>
  <c r="Z16" i="5"/>
  <c r="AD15" i="5"/>
  <c r="Z15" i="5"/>
  <c r="AD14" i="5"/>
  <c r="Z14" i="5"/>
  <c r="AD13" i="5"/>
  <c r="Z13" i="5"/>
  <c r="AD12" i="5"/>
  <c r="Z12" i="5"/>
  <c r="AD11" i="5"/>
  <c r="Z11" i="5"/>
  <c r="AD10" i="5"/>
  <c r="Z10" i="5"/>
  <c r="AD9" i="5"/>
  <c r="Z9" i="5"/>
  <c r="AD8" i="5"/>
  <c r="Z8" i="5"/>
  <c r="AD7" i="5"/>
  <c r="Z7" i="5"/>
  <c r="G35" i="1"/>
  <c r="G38" i="1"/>
  <c r="G39" i="1"/>
  <c r="G41" i="1"/>
  <c r="H31" i="1"/>
  <c r="H3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0" i="1"/>
  <c r="O3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U47" i="2"/>
  <c r="S47" i="2"/>
  <c r="R47" i="2"/>
  <c r="Q47" i="2"/>
  <c r="P47" i="2"/>
  <c r="O47" i="2"/>
  <c r="N47" i="2"/>
  <c r="M47" i="2"/>
  <c r="K47" i="2"/>
  <c r="J47" i="2"/>
  <c r="I47" i="2"/>
  <c r="H47" i="2"/>
  <c r="G47" i="2"/>
  <c r="F47" i="2"/>
  <c r="E47" i="2"/>
  <c r="C47" i="2"/>
  <c r="W46" i="2"/>
  <c r="W45" i="2"/>
  <c r="W47" i="2"/>
  <c r="R40" i="2"/>
  <c r="Q40" i="2"/>
  <c r="Q32" i="2"/>
  <c r="Q42" i="2"/>
  <c r="Q49" i="2"/>
  <c r="P40" i="2"/>
  <c r="O40" i="2"/>
  <c r="N40" i="2"/>
  <c r="M40" i="2"/>
  <c r="J40" i="2"/>
  <c r="I40" i="2"/>
  <c r="H40" i="2"/>
  <c r="H32" i="2"/>
  <c r="H42" i="2"/>
  <c r="H49" i="2"/>
  <c r="G40" i="2"/>
  <c r="F40" i="2"/>
  <c r="E40" i="2"/>
  <c r="C40" i="2"/>
  <c r="S39" i="2"/>
  <c r="K39" i="2"/>
  <c r="S38" i="2"/>
  <c r="K38" i="2"/>
  <c r="S37" i="2"/>
  <c r="K37" i="2"/>
  <c r="S36" i="2"/>
  <c r="K36" i="2"/>
  <c r="S35" i="2"/>
  <c r="K35" i="2"/>
  <c r="J32" i="2"/>
  <c r="J42" i="2"/>
  <c r="J49" i="2"/>
  <c r="I32" i="2"/>
  <c r="G32" i="2"/>
  <c r="F32" i="2"/>
  <c r="F42" i="2"/>
  <c r="F49" i="2"/>
  <c r="C32" i="2"/>
  <c r="C42" i="2"/>
  <c r="C49" i="2"/>
  <c r="S31" i="2"/>
  <c r="K31" i="2"/>
  <c r="U31" i="2"/>
  <c r="W31" i="2"/>
  <c r="S30" i="2"/>
  <c r="K30" i="2"/>
  <c r="S29" i="2"/>
  <c r="K29" i="2"/>
  <c r="U29" i="2"/>
  <c r="W29" i="2"/>
  <c r="S28" i="2"/>
  <c r="K28" i="2"/>
  <c r="U28" i="2"/>
  <c r="W28" i="2"/>
  <c r="S27" i="2"/>
  <c r="K27" i="2"/>
  <c r="S26" i="2"/>
  <c r="K26" i="2"/>
  <c r="U26" i="2"/>
  <c r="W26" i="2"/>
  <c r="S25" i="2"/>
  <c r="K25" i="2"/>
  <c r="K24" i="2"/>
  <c r="S24" i="2"/>
  <c r="U24" i="2"/>
  <c r="W24" i="2"/>
  <c r="S23" i="2"/>
  <c r="K23" i="2"/>
  <c r="S22" i="2"/>
  <c r="K22" i="2"/>
  <c r="U22" i="2"/>
  <c r="W22" i="2"/>
  <c r="S21" i="2"/>
  <c r="U21" i="2"/>
  <c r="W21" i="2"/>
  <c r="S20" i="2"/>
  <c r="K20" i="2"/>
  <c r="U20" i="2"/>
  <c r="W20" i="2"/>
  <c r="S19" i="2"/>
  <c r="K19" i="2"/>
  <c r="U19" i="2"/>
  <c r="W19" i="2"/>
  <c r="S18" i="2"/>
  <c r="K18" i="2"/>
  <c r="O17" i="2"/>
  <c r="M17" i="2"/>
  <c r="K17" i="2"/>
  <c r="S16" i="2"/>
  <c r="K16" i="2"/>
  <c r="S15" i="2"/>
  <c r="K15" i="2"/>
  <c r="U15" i="2"/>
  <c r="W15" i="2"/>
  <c r="N14" i="2"/>
  <c r="M14" i="2"/>
  <c r="K14" i="2"/>
  <c r="S13" i="2"/>
  <c r="K13" i="2"/>
  <c r="U13" i="2"/>
  <c r="W13" i="2"/>
  <c r="S12" i="2"/>
  <c r="K12" i="2"/>
  <c r="S11" i="2"/>
  <c r="K11" i="2"/>
  <c r="U11" i="2"/>
  <c r="W11" i="2"/>
  <c r="R10" i="2"/>
  <c r="R32" i="2"/>
  <c r="R42" i="2"/>
  <c r="R49" i="2"/>
  <c r="P10" i="2"/>
  <c r="P32" i="2"/>
  <c r="P42" i="2"/>
  <c r="P49" i="2"/>
  <c r="O10" i="2"/>
  <c r="O32" i="2"/>
  <c r="O42" i="2"/>
  <c r="O49" i="2"/>
  <c r="N10" i="2"/>
  <c r="N32" i="2"/>
  <c r="M10" i="2"/>
  <c r="K10" i="2"/>
  <c r="U10" i="2"/>
  <c r="W10" i="2"/>
  <c r="M9" i="2"/>
  <c r="S9" i="2"/>
  <c r="E9" i="2"/>
  <c r="E32" i="2"/>
  <c r="E42" i="2"/>
  <c r="E49" i="2"/>
  <c r="G60" i="1"/>
  <c r="J60" i="1"/>
  <c r="K60" i="1"/>
  <c r="G59" i="1"/>
  <c r="J59" i="1"/>
  <c r="K59" i="1"/>
  <c r="G58" i="1"/>
  <c r="J58" i="1"/>
  <c r="K58" i="1"/>
  <c r="G57" i="1"/>
  <c r="J57" i="1"/>
  <c r="K57" i="1"/>
  <c r="G56" i="1"/>
  <c r="J56" i="1"/>
  <c r="K56" i="1"/>
  <c r="P39" i="1"/>
  <c r="N39" i="1"/>
  <c r="M39" i="1"/>
  <c r="L39" i="1"/>
  <c r="K39" i="1"/>
  <c r="J39" i="1"/>
  <c r="I39" i="1"/>
  <c r="O39" i="1"/>
  <c r="P33" i="1"/>
  <c r="P25" i="1"/>
  <c r="M35" i="1"/>
  <c r="M41" i="1"/>
  <c r="H28" i="1"/>
  <c r="N35" i="1"/>
  <c r="N41" i="1"/>
  <c r="L35" i="1"/>
  <c r="L41" i="1"/>
  <c r="O10" i="1"/>
  <c r="I41" i="1"/>
  <c r="U30" i="2"/>
  <c r="W30" i="2"/>
  <c r="J35" i="1"/>
  <c r="J41" i="1"/>
  <c r="I48" i="1"/>
  <c r="P35" i="1"/>
  <c r="P41" i="1"/>
  <c r="N42" i="2"/>
  <c r="N49" i="2"/>
  <c r="U12" i="2"/>
  <c r="W12" i="2"/>
  <c r="S14" i="2"/>
  <c r="U14" i="2"/>
  <c r="W14" i="2"/>
  <c r="U16" i="2"/>
  <c r="W16" i="2"/>
  <c r="S17" i="2"/>
  <c r="U25" i="2"/>
  <c r="W25" i="2"/>
  <c r="U27" i="2"/>
  <c r="W27" i="2"/>
  <c r="G42" i="2"/>
  <c r="G49" i="2"/>
  <c r="U17" i="2"/>
  <c r="W17" i="2"/>
  <c r="U23" i="2"/>
  <c r="W23" i="2"/>
  <c r="H38" i="1"/>
  <c r="U18" i="2"/>
  <c r="W18" i="2"/>
  <c r="K40" i="2"/>
  <c r="U37" i="2"/>
  <c r="W37" i="2"/>
  <c r="U39" i="2"/>
  <c r="W39" i="2"/>
  <c r="G51" i="1"/>
  <c r="G49" i="1"/>
  <c r="G52" i="1"/>
  <c r="G48" i="1"/>
  <c r="G50" i="1"/>
  <c r="I50" i="1"/>
  <c r="J50" i="1"/>
  <c r="K50" i="1"/>
  <c r="M50" i="1"/>
  <c r="N50" i="1"/>
  <c r="I52" i="1"/>
  <c r="I51" i="1"/>
  <c r="H41" i="1"/>
  <c r="H30" i="1"/>
  <c r="H29" i="1"/>
  <c r="K35" i="1"/>
  <c r="K41" i="1"/>
  <c r="S40" i="2"/>
  <c r="K9" i="2"/>
  <c r="I42" i="2"/>
  <c r="I49" i="2"/>
  <c r="U35" i="2"/>
  <c r="M32" i="2"/>
  <c r="M42" i="2"/>
  <c r="M49" i="2"/>
  <c r="U36" i="2"/>
  <c r="W36" i="2"/>
  <c r="U38" i="2"/>
  <c r="W38" i="2"/>
  <c r="J52" i="1"/>
  <c r="K52" i="1"/>
  <c r="M52" i="1"/>
  <c r="N52" i="1"/>
  <c r="O41" i="1"/>
  <c r="S32" i="2"/>
  <c r="I49" i="1"/>
  <c r="J49" i="1"/>
  <c r="K49" i="1"/>
  <c r="M49" i="1"/>
  <c r="N49" i="1"/>
  <c r="S42" i="2"/>
  <c r="S49" i="2"/>
  <c r="K32" i="2"/>
  <c r="K42" i="2"/>
  <c r="K49" i="2"/>
  <c r="U9" i="2"/>
  <c r="J51" i="1"/>
  <c r="K51" i="1"/>
  <c r="M51" i="1"/>
  <c r="N51" i="1"/>
  <c r="U40" i="2"/>
  <c r="W35" i="2"/>
  <c r="W40" i="2"/>
  <c r="J48" i="1"/>
  <c r="K48" i="1"/>
  <c r="M48" i="1"/>
  <c r="N48" i="1"/>
  <c r="U32" i="2"/>
  <c r="U42" i="2"/>
  <c r="U49" i="2"/>
  <c r="W9" i="2"/>
  <c r="W32" i="2"/>
  <c r="W42" i="2"/>
  <c r="W49" i="2"/>
</calcChain>
</file>

<file path=xl/comments1.xml><?xml version="1.0" encoding="utf-8"?>
<comments xmlns="http://schemas.openxmlformats.org/spreadsheetml/2006/main">
  <authors>
    <author>Chris Chadwick</author>
  </authors>
  <commentList>
    <comment ref="P5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Fund set up to address the Stone painting and remedial work. Agreement for £150 pounds per month per houshold to address stone and painting deterioration work. Over 18month period. Then to be reviewed.
</t>
        </r>
      </text>
    </comment>
    <comment ref="P27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28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29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0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1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2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3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4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  <comment ref="P35" authorId="0">
      <text>
        <r>
          <rPr>
            <b/>
            <sz val="9"/>
            <color indexed="81"/>
            <rFont val="Arial"/>
            <family val="2"/>
          </rPr>
          <t>Chris Chadwick:</t>
        </r>
        <r>
          <rPr>
            <sz val="9"/>
            <color indexed="81"/>
            <rFont val="Arial"/>
            <family val="2"/>
          </rPr>
          <t xml:space="preserve">
This fund is based on 18month remedial fund to address Stonework &amp; Painting. Basedn on allocation of 150 per month per household for 18 months.</t>
        </r>
      </text>
    </comment>
  </commentList>
</comments>
</file>

<file path=xl/sharedStrings.xml><?xml version="1.0" encoding="utf-8"?>
<sst xmlns="http://schemas.openxmlformats.org/spreadsheetml/2006/main" count="392" uniqueCount="263">
  <si>
    <t>Budget 2018 / 19</t>
  </si>
  <si>
    <t>BUDGET</t>
  </si>
  <si>
    <t>Estate</t>
  </si>
  <si>
    <t>Stables</t>
  </si>
  <si>
    <t>Hall 1</t>
  </si>
  <si>
    <t>Hall 2</t>
  </si>
  <si>
    <t>Coach
House</t>
  </si>
  <si>
    <t>Gardens</t>
  </si>
  <si>
    <t>Totals</t>
  </si>
  <si>
    <t>(Year)</t>
  </si>
  <si>
    <t>F</t>
  </si>
  <si>
    <t>G</t>
  </si>
  <si>
    <t>H</t>
  </si>
  <si>
    <t>I</t>
  </si>
  <si>
    <t>J</t>
  </si>
  <si>
    <t>K</t>
  </si>
  <si>
    <t>L</t>
  </si>
  <si>
    <t>M</t>
  </si>
  <si>
    <t>GENERAL FUNDS (Maintenance)</t>
  </si>
  <si>
    <t>Maintenance Costs</t>
  </si>
  <si>
    <t>Notes</t>
  </si>
  <si>
    <t>£</t>
  </si>
  <si>
    <t>Grounds maintenance</t>
  </si>
  <si>
    <t>Communal electricity</t>
  </si>
  <si>
    <t>Road and gulley clearance</t>
  </si>
  <si>
    <t>Tree surgery</t>
  </si>
  <si>
    <t>Electrical repairs</t>
  </si>
  <si>
    <t>Day to day maintenance</t>
  </si>
  <si>
    <t>Gutter Cleaning &amp; Leaf Removals</t>
  </si>
  <si>
    <t>Boundaries and fencing repairs</t>
  </si>
  <si>
    <t>Annual planting</t>
  </si>
  <si>
    <t>General and fire risk assessment</t>
  </si>
  <si>
    <t>Insurance (Buildings &amp; Terrorism)</t>
  </si>
  <si>
    <t>Supplementary Gardening</t>
  </si>
  <si>
    <t>Directors &amp; Officers Insurance</t>
  </si>
  <si>
    <t>Window &amp; Communal Cleaning</t>
  </si>
  <si>
    <t>Management and administration</t>
  </si>
  <si>
    <t>Hammond McNulty</t>
  </si>
  <si>
    <t>Audit Fee</t>
  </si>
  <si>
    <t>Legal Fees</t>
  </si>
  <si>
    <t>Sub Total</t>
  </si>
  <si>
    <t>Contribution to reserves</t>
  </si>
  <si>
    <t>Reserve Funds</t>
  </si>
  <si>
    <t>Total Service Charge</t>
  </si>
  <si>
    <t>Target figure based on communications</t>
  </si>
  <si>
    <t>2018 / 19</t>
  </si>
  <si>
    <t>Prev Year</t>
  </si>
  <si>
    <t>£’s</t>
  </si>
  <si>
    <t>Summary by area</t>
  </si>
  <si>
    <t>Of Estate</t>
  </si>
  <si>
    <t>P*</t>
  </si>
  <si>
    <t>Of Area</t>
  </si>
  <si>
    <t>Total</t>
  </si>
  <si>
    <t>Ind (Av)</t>
  </si>
  <si>
    <t>% Diff</t>
  </si>
  <si>
    <t>Diff (Y)</t>
  </si>
  <si>
    <t>Diff (M)</t>
  </si>
  <si>
    <t>SF increase</t>
  </si>
  <si>
    <t>Reduction of Elec Repairs</t>
  </si>
  <si>
    <t>Coach House</t>
  </si>
  <si>
    <t>Due to no SF cont’n 2017/18</t>
  </si>
  <si>
    <t>2017 / 18</t>
  </si>
  <si>
    <t>*P = No of properties</t>
  </si>
  <si>
    <t>2017/18</t>
  </si>
  <si>
    <t>Jun-Dec 17 – Actual to date Breakdown</t>
  </si>
  <si>
    <t>Jan-Jun 18 – Forecast Breakdown</t>
  </si>
  <si>
    <t>ACTUAL</t>
  </si>
  <si>
    <t>F’CAST</t>
  </si>
  <si>
    <t>F'CAST</t>
  </si>
  <si>
    <t>DIFF</t>
  </si>
  <si>
    <t>Coach
Houses</t>
  </si>
  <si>
    <t>Jul-Dec ‘17</t>
  </si>
  <si>
    <t>Coach Houses</t>
  </si>
  <si>
    <t>Jan-Jun ‘18</t>
  </si>
  <si>
    <t>F’C vs BUD</t>
  </si>
  <si>
    <t>(6 Mnths)</t>
  </si>
  <si>
    <t>A</t>
  </si>
  <si>
    <t>B</t>
  </si>
  <si>
    <t>C</t>
  </si>
  <si>
    <t>D</t>
  </si>
  <si>
    <t>E</t>
  </si>
  <si>
    <t>Website</t>
  </si>
  <si>
    <t>Electronic gate maintenance</t>
  </si>
  <si>
    <t>Communal Aerial</t>
  </si>
  <si>
    <t>AGM Room Hire</t>
  </si>
  <si>
    <t>Postage and Stationery</t>
  </si>
  <si>
    <t>Fountain Maintenance</t>
  </si>
  <si>
    <t>Window Cleaning</t>
  </si>
  <si>
    <t>Communal Cleaning</t>
  </si>
  <si>
    <t>Lawton Hall Lake Maintenance</t>
  </si>
  <si>
    <t>Door Entry System</t>
  </si>
  <si>
    <t>Company secretary fees</t>
  </si>
  <si>
    <t>Bank charges (net of int. rec'd)</t>
  </si>
  <si>
    <t>Cyclical Sinking Fund</t>
  </si>
  <si>
    <t>Renewals sinking fund</t>
  </si>
  <si>
    <t>Lawton Hall Management Limited</t>
  </si>
  <si>
    <t>Service Charge Budget</t>
  </si>
  <si>
    <t>ECS Ref</t>
  </si>
  <si>
    <t>Resident Name</t>
  </si>
  <si>
    <t>Address</t>
  </si>
  <si>
    <t>Plot No.</t>
  </si>
  <si>
    <t>House Type</t>
  </si>
  <si>
    <t>No of Beds</t>
  </si>
  <si>
    <t>Area (Sq Ft)</t>
  </si>
  <si>
    <t>Estate Service Charge</t>
  </si>
  <si>
    <t>Stable Block Service Charge</t>
  </si>
  <si>
    <t>Hall Service Charge 1</t>
  </si>
  <si>
    <t>Hall Service Charge 2</t>
  </si>
  <si>
    <t>Coach House Service Charge</t>
  </si>
  <si>
    <t>Gardens Service Charge</t>
  </si>
  <si>
    <t>Bfwd</t>
  </si>
  <si>
    <t>Amount Payable</t>
  </si>
  <si>
    <t xml:space="preserve"> Arrears payable immediately</t>
  </si>
  <si>
    <t>Monthly</t>
  </si>
  <si>
    <t>Last Year Charge</t>
  </si>
  <si>
    <t>Change on Year</t>
  </si>
  <si>
    <t>To Pay</t>
  </si>
  <si>
    <t>%</t>
  </si>
  <si>
    <t>LAW001</t>
  </si>
  <si>
    <t>1 The Coach House, Lawton Hall Drive</t>
  </si>
  <si>
    <t>Mews</t>
  </si>
  <si>
    <t>LAW002</t>
  </si>
  <si>
    <t>Mr E &amp; Mrs R Tink</t>
  </si>
  <si>
    <t>2 The Coach House, Lawton Hall Drive</t>
  </si>
  <si>
    <t>LAW003</t>
  </si>
  <si>
    <t>Mr G and Mrs PA Halfpenny</t>
  </si>
  <si>
    <t>3 The Coach House, Lawton Hall Drive</t>
  </si>
  <si>
    <t>LAW004</t>
  </si>
  <si>
    <t>Mr BD &amp; Mrs J Moulton</t>
  </si>
  <si>
    <t>4 The Coach House, Lawton Hall Drive</t>
  </si>
  <si>
    <t>LAW005</t>
  </si>
  <si>
    <t>Mr S Anderson</t>
  </si>
  <si>
    <t>5 The Coach House, Lawton Hall Drive</t>
  </si>
  <si>
    <t>LAW006</t>
  </si>
  <si>
    <t>6 The Coach House, Lawton Hall Drive</t>
  </si>
  <si>
    <t>LAW007</t>
  </si>
  <si>
    <t>Mr C &amp; Mrs J Turner</t>
  </si>
  <si>
    <t>7 The Coach House, Lawton Hall Drive</t>
  </si>
  <si>
    <t>LAW008</t>
  </si>
  <si>
    <t>Mr &amp; Mrs Lamb</t>
  </si>
  <si>
    <t>8 The Coach House, Lawton Hall Drive</t>
  </si>
  <si>
    <t xml:space="preserve">A </t>
  </si>
  <si>
    <t>LAW009</t>
  </si>
  <si>
    <t>Mr S Burgess &amp; Ms J Brough</t>
  </si>
  <si>
    <t>17 The Gardens, Lawton Hall Drive</t>
  </si>
  <si>
    <t xml:space="preserve">B </t>
  </si>
  <si>
    <t>LAW010</t>
  </si>
  <si>
    <t>Mrs WJ Dean</t>
  </si>
  <si>
    <t>9 The Gardens, Lawton Hall Drive</t>
  </si>
  <si>
    <t>LAW011</t>
  </si>
  <si>
    <t>Mr B Potten</t>
  </si>
  <si>
    <t>10 The Gardens, Lawton Hall Drive</t>
  </si>
  <si>
    <t xml:space="preserve">C </t>
  </si>
  <si>
    <t>LAW012</t>
  </si>
  <si>
    <t>Mr W &amp; Mrs SJ Allen</t>
  </si>
  <si>
    <t>11 The Gardens, Lawton Hall Drive</t>
  </si>
  <si>
    <t>LAW013</t>
  </si>
  <si>
    <t>12 The Gardens, Lawton Hall Drive</t>
  </si>
  <si>
    <t>LAW014</t>
  </si>
  <si>
    <t>Dr Quang &amp; Dr Abbie Nguyen</t>
  </si>
  <si>
    <t>14 The Gardens, Lawton Hall Drive</t>
  </si>
  <si>
    <t>LAW015</t>
  </si>
  <si>
    <t>Mr Ray and Mrs Lynn Beecham</t>
  </si>
  <si>
    <t>15 The Gardens, Lawton Hall Drive</t>
  </si>
  <si>
    <t xml:space="preserve">D </t>
  </si>
  <si>
    <t>4/5*</t>
  </si>
  <si>
    <t>LAW016</t>
  </si>
  <si>
    <t>Mr Mark S Flynn/Grimshaw</t>
  </si>
  <si>
    <t>18 The Gardens, Lawton Hall Drive</t>
  </si>
  <si>
    <t xml:space="preserve">E </t>
  </si>
  <si>
    <t>LAW017</t>
  </si>
  <si>
    <t>Mr W McGowan &amp; Mrs A McGowan</t>
  </si>
  <si>
    <t>19 The Gardens, Lawton Hall Drive</t>
  </si>
  <si>
    <t xml:space="preserve">F </t>
  </si>
  <si>
    <t>5/6*</t>
  </si>
  <si>
    <t>LAW018</t>
  </si>
  <si>
    <t>Mr &amp; Mrs Hermitt</t>
  </si>
  <si>
    <t>20 The Gardens, Lawton Hall Drive</t>
  </si>
  <si>
    <t>LAW019</t>
  </si>
  <si>
    <t>Mr DJ Edward &amp; Ms VE Chalmers</t>
  </si>
  <si>
    <t>21 The Gardens, Lawton Hall Drive</t>
  </si>
  <si>
    <t>LAW020</t>
  </si>
  <si>
    <t>Mr D Hewlett</t>
  </si>
  <si>
    <t>16 The Gardens, Lawton Hall Drive</t>
  </si>
  <si>
    <t>LAW021</t>
  </si>
  <si>
    <t>Mr D Graham</t>
  </si>
  <si>
    <t>1 Lawton Hall, Lawton Hall Drive</t>
  </si>
  <si>
    <t>Apartment 4</t>
  </si>
  <si>
    <t>LAW022</t>
  </si>
  <si>
    <t>Mr D &amp; Mrs KA Mellor</t>
  </si>
  <si>
    <t>2 Lawton Hall, Lawton Hall Drive</t>
  </si>
  <si>
    <t>House 1</t>
  </si>
  <si>
    <t>LAW023</t>
  </si>
  <si>
    <t>Mr R Knaggs &amp; Mrs N Knaggs</t>
  </si>
  <si>
    <t>3 Lawton Hall, Lawton Hall Drive</t>
  </si>
  <si>
    <t>House 2</t>
  </si>
  <si>
    <t>LAW024</t>
  </si>
  <si>
    <t>Mr R Wingate</t>
  </si>
  <si>
    <t>4 Lawton Hall, Lawton Hall Drive</t>
  </si>
  <si>
    <t>Apartment 1</t>
  </si>
  <si>
    <t>LAW025</t>
  </si>
  <si>
    <t>Dr M Haddrick &amp; Dr S Soma-Haddrick</t>
  </si>
  <si>
    <t>5 Lawton Hall, Lawton Hall Drive</t>
  </si>
  <si>
    <t>House 3</t>
  </si>
  <si>
    <t>LAW026</t>
  </si>
  <si>
    <t xml:space="preserve">Mr D Bill </t>
  </si>
  <si>
    <t>6 Lawton Hall, Lawton Hall Drive</t>
  </si>
  <si>
    <t>House 4</t>
  </si>
  <si>
    <t>LAW027</t>
  </si>
  <si>
    <t>Ms HV Wall</t>
  </si>
  <si>
    <t>7 Lawton Hall, Lawton Hall Drive</t>
  </si>
  <si>
    <t>House 5</t>
  </si>
  <si>
    <t>LAW028</t>
  </si>
  <si>
    <t>Mr D E Mitchell</t>
  </si>
  <si>
    <t>8 Lawton Hall, Lawton Hall Drive</t>
  </si>
  <si>
    <t>Apartment 3</t>
  </si>
  <si>
    <t>LAW029</t>
  </si>
  <si>
    <t>9 Lawton Hall, Lawton Hall Drive</t>
  </si>
  <si>
    <t>Apartment 2</t>
  </si>
  <si>
    <t>LAW030</t>
  </si>
  <si>
    <t>1 The Stables, Lawton Hall Drive</t>
  </si>
  <si>
    <t xml:space="preserve">Stable </t>
  </si>
  <si>
    <t>LAW031</t>
  </si>
  <si>
    <t>2 The Stables, Lawton Hall Drive</t>
  </si>
  <si>
    <t>LAW032</t>
  </si>
  <si>
    <t>Mr C Chadwick</t>
  </si>
  <si>
    <t>3 The Stables, Lawton Hall Drive</t>
  </si>
  <si>
    <t>LAW033</t>
  </si>
  <si>
    <t>Mr R James &amp; Mrs D James</t>
  </si>
  <si>
    <t>4 The Stables, Lawton Hall Drive</t>
  </si>
  <si>
    <t>LAW034</t>
  </si>
  <si>
    <t>Ms VJ Critchley</t>
  </si>
  <si>
    <t>5 The Stables, Lawton Hall Drive</t>
  </si>
  <si>
    <t>*</t>
  </si>
  <si>
    <t>Unit has a playroom</t>
  </si>
  <si>
    <t>Floor Areas</t>
  </si>
  <si>
    <t>New Build</t>
  </si>
  <si>
    <t>Hall</t>
  </si>
  <si>
    <t>Stable</t>
  </si>
  <si>
    <t>Ms Clare Johnson</t>
  </si>
  <si>
    <t>Mr C &amp; Mrs C Paisley</t>
  </si>
  <si>
    <t>Mr S Channon</t>
  </si>
  <si>
    <t>Mr D Dunn &amp; Mrs D Dunn</t>
  </si>
  <si>
    <t>Mr S Hervouet</t>
  </si>
  <si>
    <t>Electronic Gate maintenance</t>
  </si>
  <si>
    <t>Accounting Services</t>
  </si>
  <si>
    <t>Companies House Registration Fee</t>
  </si>
  <si>
    <t>Hall Serivce Charge 3</t>
  </si>
  <si>
    <t>PAID as at 19.12.2016</t>
  </si>
  <si>
    <t>2019/20</t>
  </si>
  <si>
    <t>Budget</t>
  </si>
  <si>
    <t>Postage &amp; stationary &amp; administration</t>
  </si>
  <si>
    <t>Budget 2020/ 21</t>
  </si>
  <si>
    <t>2020/21</t>
  </si>
  <si>
    <t>F’CAST Budget Breakdown (Year 2020/21)</t>
  </si>
  <si>
    <t>Budget Notes 2020-21</t>
  </si>
  <si>
    <t>Grounds Maintenance</t>
  </si>
  <si>
    <t>A new 3 year contract has been neegotiated with the existing provider. There is no price increase for 2020-21 or 2021-22, and the price will increase by 4% for 2022-23.</t>
  </si>
  <si>
    <t>Day to Day Maintenance</t>
  </si>
  <si>
    <t>The budget for the Stables area has been increased from £50 to £250 per year. This has been funded by a commensurate reduction in the contribution to the sinking funds.</t>
  </si>
  <si>
    <t>Insurance</t>
  </si>
  <si>
    <t xml:space="preserve">The budget for all insurances (Buildings, Directors and Public Liability Insurance) have been consolidated into a single item. </t>
  </si>
  <si>
    <t>For the year ending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</si>
</sst>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#&quot; &quot;;\(#,###\);&quot;- &quot;"/>
    <numFmt numFmtId="165" formatCode="[$£-809]#,##0.00"/>
    <numFmt numFmtId="166" formatCode="&quot; &quot;* #,##0&quot; &quot;;&quot;-&quot;* #,##0&quot; &quot;;&quot; &quot;* &quot;-&quot;??&quot; &quot;"/>
    <numFmt numFmtId="169" formatCode="#,##0.00&quot; &quot;;\(#,##0.00\)"/>
    <numFmt numFmtId="170" formatCode="#,##0.00&quot; &quot;;&quot;-&quot;#,##0.00&quot; &quot;"/>
    <numFmt numFmtId="171" formatCode="0.0000%"/>
    <numFmt numFmtId="172" formatCode="0.0%"/>
    <numFmt numFmtId="173" formatCode="_-[$£-809]* #,##0.00_-;\-[$£-809]* #,##0.00_-;_-[$£-809]* &quot;-&quot;??_-;_-@_-"/>
    <numFmt numFmtId="174" formatCode="_-* #,##0.00_-;\-* #,##0.00_-;_-* &quot;-&quot;??_-;_-@_-"/>
    <numFmt numFmtId="175" formatCode="_-* #,##0_-;\-* #,##0_-;_-* &quot;-&quot;??_-;_-@_-"/>
    <numFmt numFmtId="176" formatCode="#,###_);\(#,###\);\-_)"/>
    <numFmt numFmtId="177" formatCode="#,##0.00_ ;\-#,##0.00\ "/>
    <numFmt numFmtId="178" formatCode="&quot;£&quot;#,##0.00"/>
    <numFmt numFmtId="179" formatCode="#,##0_ ;\-#,##0\ "/>
    <numFmt numFmtId="180" formatCode="#,##0;[Red]\(#,##0\)"/>
  </numFmts>
  <fonts count="24" x14ac:knownFonts="1">
    <font>
      <sz val="10"/>
      <color indexed="8"/>
      <name val="Arial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Helvetica Neue"/>
      <family val="2"/>
    </font>
    <font>
      <b/>
      <sz val="12"/>
      <color indexed="8"/>
      <name val="Helvetica Neue"/>
      <family val="2"/>
    </font>
    <font>
      <sz val="11"/>
      <color indexed="8"/>
      <name val="Helvetica Neue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Helvetica Neue"/>
      <family val="2"/>
    </font>
    <font>
      <sz val="11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Verdana"/>
      <family val="2"/>
    </font>
    <font>
      <sz val="11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BDC0BF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/>
      <top style="thick">
        <color indexed="13"/>
      </top>
      <bottom style="thin">
        <color indexed="13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6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174" fontId="12" fillId="0" borderId="14" applyFont="0" applyFill="0" applyBorder="0" applyAlignment="0" applyProtection="0"/>
    <xf numFmtId="9" fontId="12" fillId="0" borderId="14" applyFont="0" applyFill="0" applyBorder="0" applyAlignment="0" applyProtection="0"/>
  </cellStyleXfs>
  <cellXfs count="29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49" fontId="6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0" fontId="2" fillId="0" borderId="1" xfId="0" applyFont="1" applyBorder="1" applyAlignment="1"/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9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/>
    <xf numFmtId="164" fontId="3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2" fillId="2" borderId="4" xfId="0" applyNumberFormat="1" applyFont="1" applyFill="1" applyBorder="1" applyAlignment="1"/>
    <xf numFmtId="164" fontId="6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/>
    <xf numFmtId="165" fontId="9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0" fillId="0" borderId="8" xfId="0" applyNumberFormat="1" applyFont="1" applyBorder="1" applyAlignment="1"/>
    <xf numFmtId="165" fontId="9" fillId="0" borderId="9" xfId="0" applyNumberFormat="1" applyFont="1" applyBorder="1" applyAlignment="1"/>
    <xf numFmtId="164" fontId="4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right"/>
    </xf>
    <xf numFmtId="0" fontId="0" fillId="0" borderId="0" xfId="0" applyNumberFormat="1" applyFont="1" applyAlignment="1"/>
    <xf numFmtId="49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/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0" fontId="6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0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right" readingOrder="1"/>
    </xf>
    <xf numFmtId="164" fontId="6" fillId="0" borderId="1" xfId="0" applyNumberFormat="1" applyFont="1" applyBorder="1" applyAlignment="1">
      <alignment horizontal="right"/>
    </xf>
    <xf numFmtId="166" fontId="9" fillId="5" borderId="1" xfId="0" applyNumberFormat="1" applyFont="1" applyFill="1" applyBorder="1" applyAlignment="1">
      <alignment horizontal="left" readingOrder="1"/>
    </xf>
    <xf numFmtId="166" fontId="0" fillId="5" borderId="1" xfId="0" applyNumberFormat="1" applyFont="1" applyFill="1" applyBorder="1" applyAlignment="1"/>
    <xf numFmtId="164" fontId="9" fillId="0" borderId="1" xfId="0" applyNumberFormat="1" applyFont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readingOrder="1"/>
    </xf>
    <xf numFmtId="164" fontId="2" fillId="4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 vertical="top" wrapText="1"/>
    </xf>
    <xf numFmtId="164" fontId="2" fillId="4" borderId="3" xfId="0" applyNumberFormat="1" applyFont="1" applyFill="1" applyBorder="1" applyAlignment="1">
      <alignment horizontal="right" readingOrder="1"/>
    </xf>
    <xf numFmtId="166" fontId="0" fillId="5" borderId="3" xfId="0" applyNumberFormat="1" applyFont="1" applyFill="1" applyBorder="1" applyAlignment="1"/>
    <xf numFmtId="164" fontId="9" fillId="0" borderId="3" xfId="0" applyNumberFormat="1" applyFont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2" fillId="4" borderId="4" xfId="0" applyNumberFormat="1" applyFont="1" applyFill="1" applyBorder="1" applyAlignment="1">
      <alignment horizontal="right"/>
    </xf>
    <xf numFmtId="164" fontId="11" fillId="5" borderId="4" xfId="0" applyNumberFormat="1" applyFont="1" applyFill="1" applyBorder="1" applyAlignment="1"/>
    <xf numFmtId="164" fontId="11" fillId="0" borderId="4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6" fontId="11" fillId="5" borderId="4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5" borderId="1" xfId="0" applyNumberFormat="1" applyFont="1" applyFill="1" applyBorder="1" applyAlignment="1"/>
    <xf numFmtId="164" fontId="9" fillId="5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6" fontId="9" fillId="5" borderId="1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right"/>
    </xf>
    <xf numFmtId="166" fontId="9" fillId="5" borderId="3" xfId="0" applyNumberFormat="1" applyFont="1" applyFill="1" applyBorder="1" applyAlignment="1">
      <alignment horizontal="center"/>
    </xf>
    <xf numFmtId="166" fontId="11" fillId="5" borderId="4" xfId="0" applyNumberFormat="1" applyFont="1" applyFill="1" applyBorder="1" applyAlignment="1"/>
    <xf numFmtId="164" fontId="0" fillId="5" borderId="3" xfId="0" applyNumberFormat="1" applyFont="1" applyFill="1" applyBorder="1" applyAlignment="1"/>
    <xf numFmtId="164" fontId="6" fillId="0" borderId="3" xfId="0" applyNumberFormat="1" applyFont="1" applyBorder="1" applyAlignment="1">
      <alignment horizontal="right"/>
    </xf>
    <xf numFmtId="164" fontId="2" fillId="4" borderId="5" xfId="0" applyNumberFormat="1" applyFont="1" applyFill="1" applyBorder="1" applyAlignment="1">
      <alignment horizontal="right"/>
    </xf>
    <xf numFmtId="164" fontId="11" fillId="5" borderId="5" xfId="0" applyNumberFormat="1" applyFont="1" applyFill="1" applyBorder="1" applyAlignment="1"/>
    <xf numFmtId="164" fontId="11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0" fillId="5" borderId="4" xfId="0" applyNumberFormat="1" applyFont="1" applyFill="1" applyBorder="1" applyAlignment="1"/>
    <xf numFmtId="164" fontId="9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6" fontId="9" fillId="5" borderId="3" xfId="0" applyNumberFormat="1" applyFont="1" applyFill="1" applyBorder="1" applyAlignment="1">
      <alignment horizontal="left" readingOrder="1"/>
    </xf>
    <xf numFmtId="166" fontId="0" fillId="5" borderId="4" xfId="0" applyNumberFormat="1" applyFont="1" applyFill="1" applyBorder="1" applyAlignment="1"/>
    <xf numFmtId="164" fontId="6" fillId="4" borderId="4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0" fillId="5" borderId="6" xfId="0" applyNumberFormat="1" applyFont="1" applyFill="1" applyBorder="1" applyAlignment="1"/>
    <xf numFmtId="164" fontId="9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6" fontId="11" fillId="5" borderId="7" xfId="0" applyNumberFormat="1" applyFont="1" applyFill="1" applyBorder="1" applyAlignment="1"/>
    <xf numFmtId="164" fontId="11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0" fillId="0" borderId="0" xfId="0" applyNumberFormat="1" applyFont="1" applyAlignment="1"/>
    <xf numFmtId="0" fontId="0" fillId="5" borderId="11" xfId="0" applyFont="1" applyFill="1" applyBorder="1" applyAlignment="1"/>
    <xf numFmtId="0" fontId="0" fillId="5" borderId="13" xfId="0" applyFont="1" applyFill="1" applyBorder="1" applyAlignment="1"/>
    <xf numFmtId="49" fontId="9" fillId="6" borderId="14" xfId="0" applyNumberFormat="1" applyFont="1" applyFill="1" applyBorder="1" applyAlignment="1">
      <alignment horizontal="center"/>
    </xf>
    <xf numFmtId="0" fontId="0" fillId="5" borderId="12" xfId="0" applyFont="1" applyFill="1" applyBorder="1" applyAlignment="1"/>
    <xf numFmtId="0" fontId="0" fillId="0" borderId="14" xfId="0" applyNumberFormat="1" applyFont="1" applyBorder="1" applyAlignment="1"/>
    <xf numFmtId="0" fontId="0" fillId="0" borderId="14" xfId="0" applyFont="1" applyBorder="1" applyAlignment="1"/>
    <xf numFmtId="0" fontId="9" fillId="5" borderId="14" xfId="0" applyFont="1" applyFill="1" applyBorder="1" applyAlignment="1">
      <alignment horizontal="center" vertical="center"/>
    </xf>
    <xf numFmtId="0" fontId="0" fillId="5" borderId="14" xfId="0" applyFont="1" applyFill="1" applyBorder="1" applyAlignment="1"/>
    <xf numFmtId="3" fontId="9" fillId="5" borderId="14" xfId="0" applyNumberFormat="1" applyFont="1" applyFill="1" applyBorder="1" applyAlignment="1">
      <alignment horizontal="center" vertical="center"/>
    </xf>
    <xf numFmtId="170" fontId="9" fillId="5" borderId="14" xfId="0" applyNumberFormat="1" applyFont="1" applyFill="1" applyBorder="1" applyAlignment="1"/>
    <xf numFmtId="10" fontId="9" fillId="5" borderId="14" xfId="0" applyNumberFormat="1" applyFont="1" applyFill="1" applyBorder="1" applyAlignment="1"/>
    <xf numFmtId="0" fontId="11" fillId="5" borderId="14" xfId="0" applyFont="1" applyFill="1" applyBorder="1" applyAlignment="1"/>
    <xf numFmtId="0" fontId="9" fillId="5" borderId="14" xfId="0" applyFont="1" applyFill="1" applyBorder="1" applyAlignment="1"/>
    <xf numFmtId="49" fontId="11" fillId="5" borderId="14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right"/>
    </xf>
    <xf numFmtId="1" fontId="9" fillId="5" borderId="14" xfId="0" applyNumberFormat="1" applyFont="1" applyFill="1" applyBorder="1" applyAlignment="1"/>
    <xf numFmtId="10" fontId="11" fillId="5" borderId="14" xfId="0" applyNumberFormat="1" applyFont="1" applyFill="1" applyBorder="1" applyAlignment="1"/>
    <xf numFmtId="169" fontId="9" fillId="5" borderId="14" xfId="0" applyNumberFormat="1" applyFont="1" applyFill="1" applyBorder="1" applyAlignment="1"/>
    <xf numFmtId="3" fontId="11" fillId="5" borderId="14" xfId="0" applyNumberFormat="1" applyFont="1" applyFill="1" applyBorder="1" applyAlignment="1">
      <alignment horizontal="right"/>
    </xf>
    <xf numFmtId="0" fontId="0" fillId="5" borderId="15" xfId="0" applyFont="1" applyFill="1" applyBorder="1" applyAlignment="1"/>
    <xf numFmtId="0" fontId="0" fillId="5" borderId="16" xfId="0" applyFont="1" applyFill="1" applyBorder="1" applyAlignment="1"/>
    <xf numFmtId="0" fontId="0" fillId="5" borderId="17" xfId="0" applyFont="1" applyFill="1" applyBorder="1" applyAlignment="1"/>
    <xf numFmtId="9" fontId="0" fillId="5" borderId="14" xfId="0" applyNumberFormat="1" applyFont="1" applyFill="1" applyBorder="1" applyAlignment="1"/>
    <xf numFmtId="49" fontId="6" fillId="0" borderId="14" xfId="0" applyNumberFormat="1" applyFont="1" applyBorder="1" applyAlignment="1"/>
    <xf numFmtId="0" fontId="6" fillId="0" borderId="14" xfId="0" applyFont="1" applyBorder="1" applyAlignment="1"/>
    <xf numFmtId="164" fontId="7" fillId="0" borderId="14" xfId="0" applyNumberFormat="1" applyFont="1" applyBorder="1" applyAlignment="1">
      <alignment horizontal="center"/>
    </xf>
    <xf numFmtId="164" fontId="2" fillId="2" borderId="14" xfId="0" applyNumberFormat="1" applyFont="1" applyFill="1" applyBorder="1" applyAlignment="1"/>
    <xf numFmtId="164" fontId="3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2" fillId="0" borderId="14" xfId="0" applyFont="1" applyBorder="1" applyAlignment="1"/>
    <xf numFmtId="164" fontId="8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164" fontId="2" fillId="2" borderId="18" xfId="0" applyNumberFormat="1" applyFont="1" applyFill="1" applyBorder="1" applyAlignment="1"/>
    <xf numFmtId="164" fontId="4" fillId="2" borderId="3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/>
    <xf numFmtId="164" fontId="3" fillId="0" borderId="19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3" fillId="0" borderId="14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/>
    </xf>
    <xf numFmtId="172" fontId="6" fillId="0" borderId="1" xfId="0" applyNumberFormat="1" applyFont="1" applyBorder="1" applyAlignment="1">
      <alignment horizontal="center" vertical="center"/>
    </xf>
    <xf numFmtId="172" fontId="6" fillId="0" borderId="14" xfId="0" applyNumberFormat="1" applyFont="1" applyBorder="1" applyAlignment="1">
      <alignment horizontal="center" vertical="center"/>
    </xf>
    <xf numFmtId="10" fontId="13" fillId="0" borderId="0" xfId="0" applyNumberFormat="1" applyFont="1" applyAlignment="1"/>
    <xf numFmtId="10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2" fontId="14" fillId="0" borderId="0" xfId="0" applyNumberFormat="1" applyFont="1" applyAlignment="1"/>
    <xf numFmtId="40" fontId="14" fillId="0" borderId="0" xfId="0" applyNumberFormat="1" applyFont="1" applyAlignment="1"/>
    <xf numFmtId="0" fontId="0" fillId="0" borderId="0" xfId="0"/>
    <xf numFmtId="10" fontId="13" fillId="0" borderId="14" xfId="0" applyNumberFormat="1" applyFont="1" applyBorder="1" applyAlignment="1"/>
    <xf numFmtId="10" fontId="13" fillId="0" borderId="14" xfId="0" applyNumberFormat="1" applyFont="1" applyBorder="1" applyAlignment="1">
      <alignment horizont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Continuous" vertical="center" wrapText="1"/>
    </xf>
    <xf numFmtId="0" fontId="13" fillId="0" borderId="0" xfId="0" applyFont="1" applyFill="1" applyAlignment="1">
      <alignment horizontal="center" vertical="center" wrapText="1"/>
    </xf>
    <xf numFmtId="4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4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center" vertical="center" wrapText="1"/>
    </xf>
    <xf numFmtId="10" fontId="13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0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49" fontId="16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left"/>
    </xf>
    <xf numFmtId="3" fontId="14" fillId="0" borderId="14" xfId="0" applyNumberFormat="1" applyFont="1" applyBorder="1" applyAlignment="1">
      <alignment horizontal="right" vertical="center"/>
    </xf>
    <xf numFmtId="177" fontId="14" fillId="0" borderId="14" xfId="1" applyNumberFormat="1" applyFont="1" applyFill="1" applyBorder="1"/>
    <xf numFmtId="171" fontId="14" fillId="0" borderId="14" xfId="2" applyNumberFormat="1" applyFont="1" applyFill="1" applyBorder="1"/>
    <xf numFmtId="10" fontId="14" fillId="0" borderId="14" xfId="2" applyNumberFormat="1" applyFont="1" applyFill="1" applyBorder="1"/>
    <xf numFmtId="177" fontId="14" fillId="0" borderId="14" xfId="1" applyNumberFormat="1" applyFont="1"/>
    <xf numFmtId="10" fontId="14" fillId="0" borderId="14" xfId="2" applyNumberFormat="1" applyFont="1"/>
    <xf numFmtId="2" fontId="14" fillId="0" borderId="14" xfId="2" applyNumberFormat="1" applyFont="1"/>
    <xf numFmtId="2" fontId="14" fillId="0" borderId="14" xfId="2" applyNumberFormat="1" applyFont="1" applyFill="1" applyBorder="1"/>
    <xf numFmtId="173" fontId="14" fillId="7" borderId="0" xfId="0" applyNumberFormat="1" applyFont="1" applyFill="1"/>
    <xf numFmtId="173" fontId="14" fillId="8" borderId="0" xfId="0" applyNumberFormat="1" applyFont="1" applyFill="1"/>
    <xf numFmtId="0" fontId="14" fillId="8" borderId="0" xfId="0" applyFont="1" applyFill="1"/>
    <xf numFmtId="173" fontId="14" fillId="0" borderId="0" xfId="0" applyNumberFormat="1" applyFont="1" applyFill="1"/>
    <xf numFmtId="178" fontId="17" fillId="9" borderId="14" xfId="0" applyNumberFormat="1" applyFont="1" applyFill="1" applyBorder="1" applyAlignment="1">
      <alignment horizontal="right" vertical="center" wrapText="1"/>
    </xf>
    <xf numFmtId="172" fontId="14" fillId="0" borderId="0" xfId="0" applyNumberFormat="1" applyFont="1"/>
    <xf numFmtId="173" fontId="0" fillId="0" borderId="0" xfId="0" applyNumberFormat="1" applyFill="1"/>
    <xf numFmtId="49" fontId="16" fillId="0" borderId="0" xfId="0" applyNumberFormat="1" applyFont="1"/>
    <xf numFmtId="0" fontId="0" fillId="0" borderId="0" xfId="0" applyFill="1"/>
    <xf numFmtId="49" fontId="14" fillId="0" borderId="0" xfId="0" applyNumberFormat="1" applyFont="1"/>
    <xf numFmtId="178" fontId="17" fillId="9" borderId="14" xfId="0" applyNumberFormat="1" applyFont="1" applyFill="1" applyBorder="1" applyAlignment="1">
      <alignment horizontal="right" wrapText="1"/>
    </xf>
    <xf numFmtId="16" fontId="14" fillId="10" borderId="0" xfId="0" quotePrefix="1" applyNumberFormat="1" applyFont="1" applyFill="1" applyAlignment="1">
      <alignment horizontal="center"/>
    </xf>
    <xf numFmtId="171" fontId="14" fillId="0" borderId="14" xfId="2" applyNumberFormat="1" applyFont="1"/>
    <xf numFmtId="49" fontId="0" fillId="11" borderId="14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177" fontId="14" fillId="7" borderId="0" xfId="0" applyNumberFormat="1" applyFont="1" applyFill="1"/>
    <xf numFmtId="177" fontId="14" fillId="8" borderId="0" xfId="0" applyNumberFormat="1" applyFont="1" applyFill="1"/>
    <xf numFmtId="40" fontId="14" fillId="0" borderId="0" xfId="0" applyNumberFormat="1" applyFont="1" applyFill="1"/>
    <xf numFmtId="2" fontId="14" fillId="12" borderId="0" xfId="0" applyNumberFormat="1" applyFont="1" applyFill="1"/>
    <xf numFmtId="0" fontId="13" fillId="0" borderId="14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3" fontId="13" fillId="0" borderId="20" xfId="1" applyNumberFormat="1" applyFont="1" applyFill="1" applyBorder="1" applyAlignment="1">
      <alignment horizontal="right"/>
    </xf>
    <xf numFmtId="179" fontId="13" fillId="7" borderId="20" xfId="1" applyNumberFormat="1" applyFont="1" applyFill="1" applyBorder="1" applyAlignment="1">
      <alignment horizontal="right"/>
    </xf>
    <xf numFmtId="9" fontId="13" fillId="0" borderId="20" xfId="2" applyNumberFormat="1" applyFont="1" applyBorder="1" applyAlignment="1">
      <alignment horizontal="right"/>
    </xf>
    <xf numFmtId="175" fontId="13" fillId="0" borderId="20" xfId="1" applyNumberFormat="1" applyFont="1" applyBorder="1" applyAlignment="1">
      <alignment horizontal="right"/>
    </xf>
    <xf numFmtId="9" fontId="13" fillId="0" borderId="20" xfId="2" applyNumberFormat="1" applyFont="1" applyFill="1" applyBorder="1" applyAlignment="1">
      <alignment horizontal="right"/>
    </xf>
    <xf numFmtId="2" fontId="13" fillId="7" borderId="20" xfId="2" applyNumberFormat="1" applyFont="1" applyFill="1" applyBorder="1" applyAlignment="1">
      <alignment horizontal="right"/>
    </xf>
    <xf numFmtId="177" fontId="13" fillId="7" borderId="20" xfId="1" applyNumberFormat="1" applyFont="1" applyFill="1" applyBorder="1" applyAlignment="1">
      <alignment horizontal="right"/>
    </xf>
    <xf numFmtId="177" fontId="13" fillId="8" borderId="20" xfId="1" applyNumberFormat="1" applyFont="1" applyFill="1" applyBorder="1" applyAlignment="1">
      <alignment horizontal="right"/>
    </xf>
    <xf numFmtId="40" fontId="13" fillId="0" borderId="20" xfId="1" applyNumberFormat="1" applyFont="1" applyFill="1" applyBorder="1" applyAlignment="1">
      <alignment horizontal="right"/>
    </xf>
    <xf numFmtId="4" fontId="13" fillId="12" borderId="20" xfId="0" applyNumberFormat="1" applyFont="1" applyFill="1" applyBorder="1" applyAlignment="1">
      <alignment horizontal="right"/>
    </xf>
    <xf numFmtId="172" fontId="13" fillId="0" borderId="20" xfId="0" applyNumberFormat="1" applyFont="1" applyBorder="1"/>
    <xf numFmtId="173" fontId="13" fillId="0" borderId="0" xfId="0" applyNumberFormat="1" applyFont="1" applyAlignment="1">
      <alignment horizontal="right"/>
    </xf>
    <xf numFmtId="2" fontId="14" fillId="8" borderId="0" xfId="0" applyNumberFormat="1" applyFont="1" applyFill="1"/>
    <xf numFmtId="2" fontId="13" fillId="8" borderId="20" xfId="1" applyNumberFormat="1" applyFont="1" applyFill="1" applyBorder="1" applyAlignment="1">
      <alignment horizontal="right"/>
    </xf>
    <xf numFmtId="0" fontId="13" fillId="0" borderId="14" xfId="0" applyFont="1" applyFill="1" applyBorder="1" applyAlignment="1">
      <alignment horizontal="center"/>
    </xf>
    <xf numFmtId="175" fontId="14" fillId="0" borderId="14" xfId="1" applyNumberFormat="1" applyFont="1" applyFill="1" applyBorder="1"/>
    <xf numFmtId="0" fontId="14" fillId="0" borderId="14" xfId="0" applyFont="1" applyFill="1" applyBorder="1"/>
    <xf numFmtId="49" fontId="1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9" fontId="2" fillId="0" borderId="14" xfId="0" applyNumberFormat="1" applyFont="1" applyBorder="1" applyAlignment="1"/>
    <xf numFmtId="49" fontId="2" fillId="0" borderId="14" xfId="0" applyNumberFormat="1" applyFont="1" applyBorder="1" applyAlignment="1">
      <alignment horizontal="left"/>
    </xf>
    <xf numFmtId="180" fontId="20" fillId="0" borderId="1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164" fontId="6" fillId="0" borderId="14" xfId="0" applyNumberFormat="1" applyFont="1" applyFill="1" applyBorder="1" applyAlignment="1"/>
    <xf numFmtId="175" fontId="14" fillId="0" borderId="14" xfId="0" applyNumberFormat="1" applyFont="1" applyFill="1" applyBorder="1"/>
    <xf numFmtId="0" fontId="21" fillId="13" borderId="14" xfId="0" applyFont="1" applyFill="1" applyBorder="1" applyAlignment="1">
      <alignment horizontal="center"/>
    </xf>
    <xf numFmtId="0" fontId="22" fillId="13" borderId="14" xfId="0" applyFont="1" applyFill="1" applyBorder="1"/>
    <xf numFmtId="180" fontId="21" fillId="13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0" fontId="6" fillId="0" borderId="14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75" fontId="21" fillId="13" borderId="14" xfId="1" applyNumberFormat="1" applyFont="1" applyFill="1" applyBorder="1"/>
    <xf numFmtId="0" fontId="2" fillId="0" borderId="0" xfId="0" applyNumberFormat="1" applyFont="1" applyAlignment="1"/>
    <xf numFmtId="0" fontId="21" fillId="0" borderId="14" xfId="0" applyFont="1" applyFill="1" applyBorder="1"/>
    <xf numFmtId="175" fontId="21" fillId="13" borderId="18" xfId="1" applyNumberFormat="1" applyFont="1" applyFill="1" applyBorder="1"/>
    <xf numFmtId="3" fontId="21" fillId="13" borderId="2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164" fontId="2" fillId="13" borderId="14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</cellXfs>
  <cellStyles count="3">
    <cellStyle name="Comma 2" xfId="1"/>
    <cellStyle name="Normal" xfId="0" builtinId="0"/>
    <cellStyle name="Percent 2" xfId="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79646"/>
      <rgbColor rgb="FFBDC0BF"/>
      <rgbColor rgb="FFA5A5A5"/>
      <rgbColor rgb="FFFF0000"/>
      <rgbColor rgb="FF515151"/>
      <rgbColor rgb="FFA7A7A7"/>
      <rgbColor rgb="FFB2B2B1"/>
      <rgbColor rgb="FFFFFFFF"/>
      <rgbColor rgb="FFAAAAAA"/>
      <rgbColor rgb="FF1FB714"/>
      <rgbColor rgb="FFFFFF99"/>
      <rgbColor rgb="FFDD0806"/>
      <rgbColor rgb="FFCCFFCC"/>
      <rgbColor rgb="FFC0C0C0"/>
      <rgbColor rgb="FF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95094</xdr:colOff>
      <xdr:row>0</xdr:row>
      <xdr:rowOff>0</xdr:rowOff>
    </xdr:from>
    <xdr:to>
      <xdr:col>22</xdr:col>
      <xdr:colOff>501805</xdr:colOff>
      <xdr:row>1</xdr:row>
      <xdr:rowOff>92176</xdr:rowOff>
    </xdr:to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166645" y="-300355"/>
          <a:ext cx="1410011" cy="3213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APPENDIX II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101600</xdr:colOff>
      <xdr:row>17</xdr:row>
      <xdr:rowOff>156612</xdr:rowOff>
    </xdr:to>
    <xdr:sp macro="" textlink="">
      <xdr:nvSpPr>
        <xdr:cNvPr id="8" name="Shape 8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0" y="0"/>
          <a:ext cx="9245600" cy="296331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381000" marR="0" indent="-381000" algn="l" defTabSz="45720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Commentary / Assumptions</a:t>
          </a:r>
        </a:p>
        <a:p>
          <a:pPr marL="381000" marR="0" indent="-381000" algn="l" defTabSz="45720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G1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0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	Grounds Maintenance (as per Countrywide Contract 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20/23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Aug-Jul)</a:t>
          </a:r>
          <a:b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x £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1309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= </a:t>
          </a: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£15,</a:t>
          </a:r>
          <a:r>
            <a:rPr lang="en-GB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709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381000" marR="0" indent="-381000" algn="l" defTabSz="4572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for information…</a:t>
          </a:r>
          <a:b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20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21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/ 2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will be </a:t>
          </a:r>
          <a:r>
            <a:rPr lang="is-I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12 x £1309 = </a:t>
          </a:r>
          <a:r>
            <a:rPr lang="is-IS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£15,709</a:t>
          </a: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/>
          </a:r>
          <a:b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20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22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/ 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23</a:t>
          </a: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will be 12 x £1361 = </a:t>
          </a:r>
          <a:r>
            <a:rPr lang="en-GB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£16,338</a:t>
          </a:r>
          <a:r>
            <a:rPr lang="en-US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/>
          </a:r>
          <a:br>
            <a:rPr lang="en-US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2019 / 20 it was 1 x £1,271 + 11 x £1,309 = </a:t>
          </a:r>
          <a:r>
            <a:rPr lang="en-US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£15,670</a:t>
          </a: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/>
          </a:r>
          <a:b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</a:b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F8	</a:t>
          </a:r>
          <a:r>
            <a:rPr sz="1200" b="0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Electronic Gate Maintenance</a:t>
          </a:r>
          <a:r>
            <a:rPr lang="en-GB" sz="1200" b="0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 - WALTER DO WE HAVE A NEW CONTRACT?</a:t>
          </a:r>
          <a:endParaRPr sz="1200" b="0" i="0" u="none" strike="noStrike" cap="none" spc="0" baseline="0">
            <a:ln>
              <a:noFill/>
            </a:ln>
            <a:solidFill>
              <a:srgbClr val="FF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	- Securewise annual contract - £480+2.6% Main Gates (Jan-Dec 2018)</a:t>
          </a: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	- Securewise annual contract - £340+2.6% Hall Gates (Jan-Dec 2018)</a:t>
          </a: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	both contracts include 2 x services per annum with the inclusion of up to two call outs.</a:t>
          </a: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381000" marR="0" indent="-3810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381000" algn="l"/>
            </a:tabLst>
            <a:def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Impact on Area Budgets</a:t>
          </a:r>
          <a:r>
            <a:rPr lang="en-GB" sz="12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- no change on previous year. 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/Dropbox/Lawton%20Hall%20Management/FINANCE/BUDGETS/BUDGET%202019-20%20WORKING/Budget%202019-2020%20Spend%20to%20date%20analysis%20-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-2019"/>
      <sheetName val="Current Year Spending"/>
      <sheetName val="Breakdown by Category"/>
      <sheetName val="Payments Received"/>
      <sheetName val="Electricity costs"/>
      <sheetName val="Budget 2017-2018"/>
      <sheetName val="2019-20 Allocation Matrix"/>
    </sheetNames>
    <sheetDataSet>
      <sheetData sheetId="0">
        <row r="44">
          <cell r="Y44">
            <v>39431</v>
          </cell>
          <cell r="Z44">
            <v>3587.5</v>
          </cell>
          <cell r="AA44">
            <v>9094</v>
          </cell>
          <cell r="AB44">
            <v>817.5</v>
          </cell>
          <cell r="AC44">
            <v>3013.5</v>
          </cell>
          <cell r="AD44">
            <v>538</v>
          </cell>
        </row>
      </sheetData>
      <sheetData sheetId="1"/>
      <sheetData sheetId="2"/>
      <sheetData sheetId="3"/>
      <sheetData sheetId="4"/>
      <sheetData sheetId="5">
        <row r="48">
          <cell r="AB4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62"/>
  <sheetViews>
    <sheetView showGridLines="0" tabSelected="1" showRuler="0" workbookViewId="0">
      <pane ySplit="5" topLeftCell="A6" activePane="bottomLeft" state="frozen"/>
      <selection pane="bottomLeft" activeCell="I21" sqref="I21"/>
    </sheetView>
  </sheetViews>
  <sheetFormatPr baseColWidth="10" defaultColWidth="13.33203125" defaultRowHeight="13.5" customHeight="1" x14ac:dyDescent="0.15"/>
  <cols>
    <col min="1" max="1" width="3.1640625" customWidth="1"/>
    <col min="2" max="2" width="33.1640625" style="1" customWidth="1"/>
    <col min="3" max="3" width="3" style="139" customWidth="1"/>
    <col min="4" max="4" width="6.6640625" style="1" customWidth="1"/>
    <col min="5" max="5" width="9.33203125" style="1" customWidth="1"/>
    <col min="6" max="6" width="3.33203125" style="139" customWidth="1"/>
    <col min="7" max="7" width="9.6640625" style="1" customWidth="1"/>
    <col min="8" max="8" width="10.83203125" style="1" customWidth="1"/>
    <col min="9" max="9" width="10.5" style="1" customWidth="1"/>
    <col min="10" max="15" width="9.33203125" style="1" customWidth="1"/>
    <col min="16" max="16" width="9.33203125" style="1" hidden="1" customWidth="1"/>
    <col min="17" max="258" width="13.33203125" customWidth="1"/>
  </cols>
  <sheetData>
    <row r="1" spans="2:16" ht="23" customHeight="1" x14ac:dyDescent="0.15"/>
    <row r="2" spans="2:16" ht="17.75" customHeight="1" x14ac:dyDescent="0.2">
      <c r="B2" s="2" t="s">
        <v>252</v>
      </c>
      <c r="C2" s="262"/>
      <c r="D2" s="3"/>
      <c r="E2" s="271" t="s">
        <v>250</v>
      </c>
      <c r="F2" s="259"/>
      <c r="G2" s="271" t="s">
        <v>250</v>
      </c>
      <c r="H2" s="5"/>
      <c r="I2" s="6"/>
      <c r="J2" s="7"/>
      <c r="K2" s="7"/>
      <c r="L2" s="8" t="s">
        <v>254</v>
      </c>
      <c r="M2" s="7"/>
      <c r="N2" s="7"/>
      <c r="O2" s="7"/>
      <c r="P2" s="9"/>
    </row>
    <row r="3" spans="2:16" ht="16.75" customHeight="1" x14ac:dyDescent="0.2">
      <c r="B3" s="10"/>
      <c r="C3" s="263"/>
      <c r="D3" s="10"/>
      <c r="E3" s="271" t="s">
        <v>249</v>
      </c>
      <c r="F3" s="259"/>
      <c r="G3" s="4" t="s">
        <v>253</v>
      </c>
      <c r="H3" s="11"/>
      <c r="I3" s="12"/>
      <c r="J3" s="12"/>
      <c r="K3" s="12"/>
      <c r="L3" s="12"/>
      <c r="M3" s="12"/>
      <c r="N3" s="12"/>
      <c r="O3" s="12"/>
      <c r="P3" s="12"/>
    </row>
    <row r="4" spans="2:16" ht="15.5" customHeight="1" x14ac:dyDescent="0.2">
      <c r="B4" s="13"/>
      <c r="C4" s="167"/>
      <c r="D4" s="13"/>
      <c r="E4" s="272"/>
      <c r="F4" s="261"/>
      <c r="G4" s="4"/>
      <c r="H4" s="11"/>
      <c r="I4" s="289" t="s">
        <v>2</v>
      </c>
      <c r="J4" s="289" t="s">
        <v>3</v>
      </c>
      <c r="K4" s="289" t="s">
        <v>4</v>
      </c>
      <c r="L4" s="289" t="s">
        <v>5</v>
      </c>
      <c r="M4" s="292" t="s">
        <v>6</v>
      </c>
      <c r="N4" s="289" t="s">
        <v>7</v>
      </c>
      <c r="O4" s="289" t="s">
        <v>8</v>
      </c>
      <c r="P4" s="291"/>
    </row>
    <row r="5" spans="2:16" ht="15.5" customHeight="1" x14ac:dyDescent="0.2">
      <c r="B5" s="12"/>
      <c r="C5" s="168"/>
      <c r="D5" s="12"/>
      <c r="E5" s="273" t="s">
        <v>9</v>
      </c>
      <c r="F5" s="267"/>
      <c r="G5" s="4" t="s">
        <v>9</v>
      </c>
      <c r="H5" s="11"/>
      <c r="I5" s="290"/>
      <c r="J5" s="290"/>
      <c r="K5" s="290"/>
      <c r="L5" s="290"/>
      <c r="M5" s="290"/>
      <c r="N5" s="290"/>
      <c r="O5" s="290"/>
      <c r="P5" s="290"/>
    </row>
    <row r="6" spans="2:16" ht="15.5" customHeight="1" x14ac:dyDescent="0.2">
      <c r="B6" s="12"/>
      <c r="C6" s="168"/>
      <c r="D6" s="20"/>
      <c r="E6" s="274"/>
      <c r="F6" s="259"/>
      <c r="G6" s="16"/>
      <c r="H6" s="11"/>
      <c r="I6" s="16"/>
      <c r="J6" s="16"/>
      <c r="K6" s="16"/>
      <c r="L6" s="16"/>
      <c r="M6" s="16"/>
      <c r="N6" s="16"/>
      <c r="O6" s="16"/>
      <c r="P6" s="16"/>
    </row>
    <row r="7" spans="2:16" ht="16.75" customHeight="1" x14ac:dyDescent="0.2">
      <c r="B7" s="17"/>
      <c r="C7" s="264"/>
      <c r="D7" s="285" t="s">
        <v>20</v>
      </c>
      <c r="E7" s="274"/>
      <c r="F7" s="259"/>
      <c r="G7" s="283"/>
      <c r="H7" s="15"/>
      <c r="I7" s="19"/>
      <c r="J7" s="19"/>
      <c r="K7" s="19"/>
      <c r="L7" s="19"/>
      <c r="M7" s="19"/>
      <c r="N7" s="19"/>
      <c r="O7" s="19"/>
      <c r="P7" s="20"/>
    </row>
    <row r="8" spans="2:16" ht="15.5" customHeight="1" x14ac:dyDescent="0.2">
      <c r="B8" s="21" t="s">
        <v>18</v>
      </c>
      <c r="C8" s="265"/>
      <c r="D8" s="20"/>
      <c r="E8" s="275"/>
      <c r="F8" s="268"/>
      <c r="G8" s="16"/>
      <c r="H8" s="11"/>
      <c r="I8" s="16"/>
      <c r="J8" s="16"/>
      <c r="K8" s="16"/>
      <c r="L8" s="16"/>
      <c r="M8" s="16"/>
      <c r="N8" s="16"/>
      <c r="O8" s="16"/>
      <c r="P8" s="16"/>
    </row>
    <row r="9" spans="2:16" ht="15.5" customHeight="1" x14ac:dyDescent="0.2">
      <c r="B9" s="21" t="s">
        <v>19</v>
      </c>
      <c r="C9" s="265"/>
      <c r="D9" s="286"/>
      <c r="E9" s="271" t="s">
        <v>21</v>
      </c>
      <c r="F9" s="259"/>
      <c r="G9" s="23" t="s">
        <v>21</v>
      </c>
      <c r="H9" s="15"/>
      <c r="I9" s="19" t="s">
        <v>21</v>
      </c>
      <c r="J9" s="19" t="s">
        <v>21</v>
      </c>
      <c r="K9" s="19" t="s">
        <v>21</v>
      </c>
      <c r="L9" s="19" t="s">
        <v>21</v>
      </c>
      <c r="M9" s="19" t="s">
        <v>21</v>
      </c>
      <c r="N9" s="19" t="s">
        <v>21</v>
      </c>
      <c r="O9" s="19" t="s">
        <v>21</v>
      </c>
      <c r="P9" s="20"/>
    </row>
    <row r="10" spans="2:16" ht="16.75" customHeight="1" x14ac:dyDescent="0.2">
      <c r="B10" s="13" t="s">
        <v>22</v>
      </c>
      <c r="C10" s="167"/>
      <c r="D10" s="16">
        <v>1</v>
      </c>
      <c r="E10" s="284">
        <v>16500</v>
      </c>
      <c r="F10" s="269"/>
      <c r="G10" s="24">
        <v>16500</v>
      </c>
      <c r="H10" s="25">
        <f t="shared" ref="H10:H19" si="0">G10/$G$41</f>
        <v>0.2921310517603109</v>
      </c>
      <c r="I10" s="26">
        <v>16500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7">
        <f>SUM(I10:N10)</f>
        <v>16500</v>
      </c>
      <c r="P10" s="27"/>
    </row>
    <row r="11" spans="2:16" ht="16.75" customHeight="1" x14ac:dyDescent="0.2">
      <c r="B11" s="13" t="s">
        <v>23</v>
      </c>
      <c r="C11" s="167"/>
      <c r="D11" s="16"/>
      <c r="E11" s="278">
        <v>3000</v>
      </c>
      <c r="F11" s="260"/>
      <c r="G11" s="24">
        <v>3000</v>
      </c>
      <c r="H11" s="25">
        <f t="shared" si="0"/>
        <v>5.311473668369289E-2</v>
      </c>
      <c r="I11" s="26">
        <v>1127.4000000000001</v>
      </c>
      <c r="J11" s="26">
        <v>597.59999999999991</v>
      </c>
      <c r="K11" s="26">
        <v>667.5</v>
      </c>
      <c r="L11" s="26">
        <v>307.5</v>
      </c>
      <c r="M11" s="26">
        <v>0</v>
      </c>
      <c r="N11" s="26">
        <v>300</v>
      </c>
      <c r="O11" s="27">
        <f t="shared" ref="O11:O24" si="1">SUM(I11:N11)</f>
        <v>3000</v>
      </c>
      <c r="P11" s="27"/>
    </row>
    <row r="12" spans="2:16" ht="16.75" customHeight="1" x14ac:dyDescent="0.2">
      <c r="B12" s="13" t="s">
        <v>24</v>
      </c>
      <c r="C12" s="167"/>
      <c r="D12" s="16"/>
      <c r="E12" s="278">
        <v>500</v>
      </c>
      <c r="F12" s="260"/>
      <c r="G12" s="24">
        <v>500</v>
      </c>
      <c r="H12" s="25">
        <f t="shared" si="0"/>
        <v>8.8524561139488155E-3</v>
      </c>
      <c r="I12" s="26">
        <v>500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7">
        <f t="shared" si="1"/>
        <v>500</v>
      </c>
      <c r="P12" s="27"/>
    </row>
    <row r="13" spans="2:16" ht="16.75" customHeight="1" x14ac:dyDescent="0.2">
      <c r="B13" s="13" t="s">
        <v>25</v>
      </c>
      <c r="C13" s="167"/>
      <c r="D13" s="16"/>
      <c r="E13" s="278">
        <v>3250</v>
      </c>
      <c r="F13" s="260"/>
      <c r="G13" s="24">
        <v>3250</v>
      </c>
      <c r="H13" s="25">
        <f t="shared" si="0"/>
        <v>5.7540964740667298E-2</v>
      </c>
      <c r="I13" s="26">
        <v>3250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7">
        <f t="shared" si="1"/>
        <v>3250</v>
      </c>
      <c r="P13" s="27"/>
    </row>
    <row r="14" spans="2:16" ht="16.75" customHeight="1" x14ac:dyDescent="0.2">
      <c r="B14" s="13" t="s">
        <v>26</v>
      </c>
      <c r="C14" s="167"/>
      <c r="D14" s="16"/>
      <c r="E14" s="278">
        <v>1050</v>
      </c>
      <c r="F14" s="260"/>
      <c r="G14" s="24">
        <v>1050</v>
      </c>
      <c r="H14" s="25">
        <f t="shared" si="0"/>
        <v>1.859015783929251E-2</v>
      </c>
      <c r="I14" s="26">
        <v>1050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7">
        <f t="shared" si="1"/>
        <v>1050</v>
      </c>
      <c r="P14" s="27"/>
    </row>
    <row r="15" spans="2:16" ht="16.75" customHeight="1" x14ac:dyDescent="0.2">
      <c r="B15" s="13" t="s">
        <v>27</v>
      </c>
      <c r="C15" s="167"/>
      <c r="D15" s="16">
        <v>2</v>
      </c>
      <c r="E15" s="278">
        <v>2350</v>
      </c>
      <c r="F15" s="260"/>
      <c r="G15" s="24">
        <v>2550</v>
      </c>
      <c r="H15" s="25">
        <f t="shared" si="0"/>
        <v>4.5147526181138958E-2</v>
      </c>
      <c r="I15" s="26">
        <v>1800</v>
      </c>
      <c r="J15" s="26">
        <v>250</v>
      </c>
      <c r="K15" s="26">
        <v>500</v>
      </c>
      <c r="L15" s="26">
        <v>0</v>
      </c>
      <c r="M15" s="26">
        <v>0</v>
      </c>
      <c r="N15" s="26">
        <v>0</v>
      </c>
      <c r="O15" s="27">
        <f t="shared" si="1"/>
        <v>2550</v>
      </c>
      <c r="P15" s="27"/>
    </row>
    <row r="16" spans="2:16" ht="16.75" customHeight="1" x14ac:dyDescent="0.2">
      <c r="B16" s="167" t="s">
        <v>81</v>
      </c>
      <c r="C16" s="167"/>
      <c r="D16" s="287"/>
      <c r="E16" s="278">
        <v>200</v>
      </c>
      <c r="F16" s="260"/>
      <c r="G16" s="170">
        <v>200</v>
      </c>
      <c r="H16" s="185">
        <f t="shared" si="0"/>
        <v>3.5409824455795262E-3</v>
      </c>
      <c r="I16" s="171">
        <v>200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27">
        <f t="shared" si="1"/>
        <v>200</v>
      </c>
      <c r="P16" s="172"/>
    </row>
    <row r="17" spans="2:16" ht="16.75" customHeight="1" x14ac:dyDescent="0.2">
      <c r="B17" s="13" t="s">
        <v>28</v>
      </c>
      <c r="C17" s="167"/>
      <c r="D17" s="16"/>
      <c r="E17" s="278">
        <v>1100</v>
      </c>
      <c r="F17" s="260"/>
      <c r="G17" s="24">
        <v>1100</v>
      </c>
      <c r="H17" s="25">
        <f t="shared" si="0"/>
        <v>1.9475403450687392E-2</v>
      </c>
      <c r="I17" s="26">
        <v>0</v>
      </c>
      <c r="J17" s="26">
        <v>400</v>
      </c>
      <c r="K17" s="26">
        <v>400</v>
      </c>
      <c r="L17" s="26">
        <v>0</v>
      </c>
      <c r="M17" s="26">
        <v>300</v>
      </c>
      <c r="N17" s="26">
        <v>0</v>
      </c>
      <c r="O17" s="27">
        <f t="shared" si="1"/>
        <v>1100</v>
      </c>
      <c r="P17" s="27"/>
    </row>
    <row r="18" spans="2:16" ht="16.75" customHeight="1" x14ac:dyDescent="0.2">
      <c r="B18" s="13" t="s">
        <v>244</v>
      </c>
      <c r="C18" s="167"/>
      <c r="D18" s="16"/>
      <c r="E18" s="278">
        <v>1040</v>
      </c>
      <c r="F18" s="260"/>
      <c r="G18" s="24">
        <v>1040</v>
      </c>
      <c r="H18" s="25">
        <f t="shared" si="0"/>
        <v>1.8413108717013536E-2</v>
      </c>
      <c r="I18" s="26">
        <v>692</v>
      </c>
      <c r="J18" s="26">
        <v>0</v>
      </c>
      <c r="K18" s="26">
        <v>348</v>
      </c>
      <c r="L18" s="26">
        <v>0</v>
      </c>
      <c r="M18" s="26">
        <v>0</v>
      </c>
      <c r="N18" s="26">
        <v>0</v>
      </c>
      <c r="O18" s="27">
        <f t="shared" si="1"/>
        <v>1040</v>
      </c>
      <c r="P18" s="27"/>
    </row>
    <row r="19" spans="2:16" ht="16.75" customHeight="1" x14ac:dyDescent="0.2">
      <c r="B19" s="13" t="s">
        <v>29</v>
      </c>
      <c r="C19" s="167"/>
      <c r="D19" s="16"/>
      <c r="E19" s="278">
        <v>1000</v>
      </c>
      <c r="F19" s="260"/>
      <c r="G19" s="24">
        <v>1000</v>
      </c>
      <c r="H19" s="25">
        <f t="shared" si="0"/>
        <v>1.7704912227897631E-2</v>
      </c>
      <c r="I19" s="26">
        <v>1000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7">
        <f t="shared" si="1"/>
        <v>1000</v>
      </c>
      <c r="P19" s="27"/>
    </row>
    <row r="20" spans="2:16" ht="16.75" customHeight="1" x14ac:dyDescent="0.2">
      <c r="B20" s="13" t="s">
        <v>31</v>
      </c>
      <c r="C20" s="167"/>
      <c r="D20" s="16"/>
      <c r="E20" s="278">
        <v>500</v>
      </c>
      <c r="F20" s="260"/>
      <c r="G20" s="24">
        <v>500</v>
      </c>
      <c r="H20" s="25">
        <f>G20/$G$41</f>
        <v>8.8524561139488155E-3</v>
      </c>
      <c r="I20" s="26">
        <v>0</v>
      </c>
      <c r="J20" s="26">
        <v>0</v>
      </c>
      <c r="K20" s="26">
        <v>500</v>
      </c>
      <c r="L20" s="26">
        <v>0</v>
      </c>
      <c r="M20" s="26">
        <v>0</v>
      </c>
      <c r="N20" s="26">
        <v>0</v>
      </c>
      <c r="O20" s="27">
        <f t="shared" si="1"/>
        <v>500</v>
      </c>
      <c r="P20" s="27"/>
    </row>
    <row r="21" spans="2:16" ht="16.75" customHeight="1" x14ac:dyDescent="0.2">
      <c r="B21" s="13" t="s">
        <v>32</v>
      </c>
      <c r="C21" s="167"/>
      <c r="D21" s="16"/>
      <c r="E21" s="278">
        <v>6540</v>
      </c>
      <c r="F21" s="260"/>
      <c r="G21" s="24">
        <v>6540</v>
      </c>
      <c r="H21" s="25">
        <f>G21/$G$41</f>
        <v>0.11579012597045051</v>
      </c>
      <c r="I21" s="26">
        <v>340</v>
      </c>
      <c r="J21" s="26">
        <v>1264.5</v>
      </c>
      <c r="K21" s="26">
        <v>3122</v>
      </c>
      <c r="L21" s="26">
        <v>0</v>
      </c>
      <c r="M21" s="26">
        <v>1813.5</v>
      </c>
      <c r="N21" s="26">
        <v>0</v>
      </c>
      <c r="O21" s="27">
        <f t="shared" si="1"/>
        <v>6540</v>
      </c>
      <c r="P21" s="27">
        <v>6200</v>
      </c>
    </row>
    <row r="22" spans="2:16" ht="16.75" customHeight="1" x14ac:dyDescent="0.2">
      <c r="B22" s="13" t="s">
        <v>33</v>
      </c>
      <c r="C22" s="167"/>
      <c r="D22" s="16"/>
      <c r="E22" s="278">
        <v>1000</v>
      </c>
      <c r="F22" s="260"/>
      <c r="G22" s="24">
        <v>1000</v>
      </c>
      <c r="H22" s="25">
        <f>G22/$G$41</f>
        <v>1.7704912227897631E-2</v>
      </c>
      <c r="I22" s="26">
        <v>1000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7">
        <f t="shared" si="1"/>
        <v>1000</v>
      </c>
      <c r="P22" s="27"/>
    </row>
    <row r="23" spans="2:16" ht="16.75" customHeight="1" x14ac:dyDescent="0.2">
      <c r="B23" s="13" t="s">
        <v>34</v>
      </c>
      <c r="C23" s="167"/>
      <c r="D23" s="16"/>
      <c r="E23" s="278">
        <v>300</v>
      </c>
      <c r="F23" s="260"/>
      <c r="G23" s="24">
        <v>300</v>
      </c>
      <c r="H23" s="25">
        <f>G23/$G$41</f>
        <v>5.3114736683692893E-3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7">
        <f t="shared" si="1"/>
        <v>0</v>
      </c>
      <c r="P23" s="27"/>
    </row>
    <row r="24" spans="2:16" ht="17.25" customHeight="1" x14ac:dyDescent="0.2">
      <c r="B24" s="13" t="s">
        <v>35</v>
      </c>
      <c r="C24" s="167"/>
      <c r="D24" s="16"/>
      <c r="E24" s="278">
        <v>1010</v>
      </c>
      <c r="F24" s="260"/>
      <c r="G24" s="28">
        <v>1010</v>
      </c>
      <c r="H24" s="25">
        <f>G24/$G$41</f>
        <v>1.7881961350176608E-2</v>
      </c>
      <c r="I24" s="29">
        <v>0</v>
      </c>
      <c r="J24" s="29">
        <v>0</v>
      </c>
      <c r="K24" s="29">
        <v>650</v>
      </c>
      <c r="L24" s="29">
        <v>360</v>
      </c>
      <c r="M24" s="29">
        <v>0</v>
      </c>
      <c r="N24" s="29">
        <v>0</v>
      </c>
      <c r="O24" s="27">
        <f t="shared" si="1"/>
        <v>1010</v>
      </c>
      <c r="P24" s="30"/>
    </row>
    <row r="25" spans="2:16" ht="17.25" customHeight="1" x14ac:dyDescent="0.2">
      <c r="B25" s="12"/>
      <c r="C25" s="168"/>
      <c r="D25" s="16"/>
      <c r="E25" s="31">
        <v>39340</v>
      </c>
      <c r="F25" s="260"/>
      <c r="G25" s="31">
        <v>39540</v>
      </c>
      <c r="H25" s="32"/>
      <c r="I25" s="33">
        <v>27759.4</v>
      </c>
      <c r="J25" s="33">
        <v>2512.1</v>
      </c>
      <c r="K25" s="33">
        <v>6187.5</v>
      </c>
      <c r="L25" s="33">
        <v>667.5</v>
      </c>
      <c r="M25" s="33">
        <v>2113.5</v>
      </c>
      <c r="N25" s="33">
        <v>300</v>
      </c>
      <c r="O25" s="33">
        <f>SUM(I25:N25)</f>
        <v>39540</v>
      </c>
      <c r="P25" s="33">
        <f>SUM(P10:P24)</f>
        <v>6200</v>
      </c>
    </row>
    <row r="26" spans="2:16" ht="16.75" customHeight="1" x14ac:dyDescent="0.2">
      <c r="B26" s="12"/>
      <c r="C26" s="168"/>
      <c r="D26" s="16"/>
      <c r="E26" s="279"/>
      <c r="F26" s="268"/>
      <c r="G26" s="35"/>
      <c r="H26" s="32"/>
      <c r="I26" s="26"/>
      <c r="J26" s="26"/>
      <c r="K26" s="26"/>
      <c r="L26" s="26"/>
      <c r="M26" s="26"/>
      <c r="N26" s="26"/>
      <c r="O26" s="27"/>
      <c r="P26" s="27"/>
    </row>
    <row r="27" spans="2:16" ht="16.75" customHeight="1" x14ac:dyDescent="0.2">
      <c r="B27" s="21" t="s">
        <v>36</v>
      </c>
      <c r="C27" s="265"/>
      <c r="D27" s="20"/>
      <c r="E27" s="280"/>
      <c r="F27" s="261"/>
      <c r="G27" s="35"/>
      <c r="H27" s="32"/>
      <c r="I27" s="26"/>
      <c r="J27" s="26"/>
      <c r="K27" s="26"/>
      <c r="L27" s="26"/>
      <c r="M27" s="26"/>
      <c r="N27" s="26"/>
      <c r="O27" s="27"/>
      <c r="P27" s="27"/>
    </row>
    <row r="28" spans="2:16" ht="16.75" customHeight="1" x14ac:dyDescent="0.2">
      <c r="B28" s="167" t="s">
        <v>251</v>
      </c>
      <c r="C28" s="167"/>
      <c r="D28" s="288"/>
      <c r="E28" s="278">
        <v>330</v>
      </c>
      <c r="F28" s="260"/>
      <c r="G28" s="24">
        <v>330</v>
      </c>
      <c r="H28" s="25">
        <f>G28/$G$41</f>
        <v>5.8426210352062182E-3</v>
      </c>
      <c r="I28" s="26">
        <v>330</v>
      </c>
      <c r="J28" s="26">
        <v>0</v>
      </c>
      <c r="K28" s="26">
        <v>0</v>
      </c>
      <c r="L28" s="26">
        <v>0</v>
      </c>
      <c r="M28" s="26">
        <v>0</v>
      </c>
      <c r="N28" s="171">
        <v>0</v>
      </c>
      <c r="O28" s="27">
        <f>SUM(I28:N28)</f>
        <v>330</v>
      </c>
      <c r="P28" s="172"/>
    </row>
    <row r="29" spans="2:16" ht="16.75" customHeight="1" x14ac:dyDescent="0.2">
      <c r="B29" s="13" t="s">
        <v>245</v>
      </c>
      <c r="C29" s="167"/>
      <c r="D29" s="16"/>
      <c r="E29" s="278">
        <v>1440</v>
      </c>
      <c r="F29" s="260"/>
      <c r="G29" s="24">
        <v>1440</v>
      </c>
      <c r="H29" s="25">
        <f>G29/$G$41</f>
        <v>2.5495073608172589E-2</v>
      </c>
      <c r="I29" s="26">
        <v>1440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7">
        <f t="shared" ref="O29:O32" si="2">SUM(I29:N29)</f>
        <v>1440</v>
      </c>
      <c r="P29" s="27"/>
    </row>
    <row r="30" spans="2:16" ht="16.75" customHeight="1" x14ac:dyDescent="0.2">
      <c r="B30" s="13" t="s">
        <v>39</v>
      </c>
      <c r="C30" s="167"/>
      <c r="D30" s="16"/>
      <c r="E30" s="278">
        <v>250</v>
      </c>
      <c r="F30" s="260"/>
      <c r="G30" s="170">
        <v>250</v>
      </c>
      <c r="H30" s="186">
        <f>G30/$G$41</f>
        <v>4.4262280569744078E-3</v>
      </c>
      <c r="I30" s="171">
        <v>250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27">
        <f t="shared" si="2"/>
        <v>250</v>
      </c>
      <c r="P30" s="27"/>
    </row>
    <row r="31" spans="2:16" ht="17.25" customHeight="1" x14ac:dyDescent="0.2">
      <c r="B31" s="13" t="s">
        <v>246</v>
      </c>
      <c r="C31" s="167"/>
      <c r="D31" s="16"/>
      <c r="E31" s="278">
        <v>14</v>
      </c>
      <c r="F31" s="260"/>
      <c r="G31" s="170">
        <v>14</v>
      </c>
      <c r="H31" s="186">
        <f t="shared" ref="H31:H32" si="3">G31/$G$41</f>
        <v>2.478687711905668E-4</v>
      </c>
      <c r="I31" s="171">
        <v>14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27">
        <f t="shared" si="2"/>
        <v>14</v>
      </c>
      <c r="P31" s="30"/>
    </row>
    <row r="32" spans="2:16" ht="17.25" customHeight="1" x14ac:dyDescent="0.2">
      <c r="B32" s="168" t="s">
        <v>92</v>
      </c>
      <c r="C32" s="168"/>
      <c r="D32" s="287"/>
      <c r="E32" s="278">
        <v>100</v>
      </c>
      <c r="F32" s="260"/>
      <c r="G32" s="170">
        <v>100</v>
      </c>
      <c r="H32" s="186">
        <f t="shared" si="3"/>
        <v>1.7704912227897631E-3</v>
      </c>
      <c r="I32" s="171">
        <v>100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27">
        <f t="shared" si="2"/>
        <v>100</v>
      </c>
      <c r="P32" s="172"/>
    </row>
    <row r="33" spans="2:16" ht="17.25" customHeight="1" x14ac:dyDescent="0.2">
      <c r="B33" s="12"/>
      <c r="C33" s="168"/>
      <c r="D33" s="16"/>
      <c r="E33" s="281">
        <v>2134</v>
      </c>
      <c r="F33" s="260"/>
      <c r="G33" s="176">
        <v>2134</v>
      </c>
      <c r="H33" s="175"/>
      <c r="I33" s="182">
        <f>SUM(I28:I32)</f>
        <v>2134</v>
      </c>
      <c r="J33" s="181"/>
      <c r="K33" s="181"/>
      <c r="L33" s="181"/>
      <c r="M33" s="181"/>
      <c r="N33" s="181"/>
      <c r="O33" s="182">
        <f>SUM(O28:O32)</f>
        <v>2134</v>
      </c>
      <c r="P33" s="33">
        <f>SUM(P29:P31)</f>
        <v>0</v>
      </c>
    </row>
    <row r="34" spans="2:16" ht="17.25" customHeight="1" x14ac:dyDescent="0.2">
      <c r="B34" s="168"/>
      <c r="C34" s="168"/>
      <c r="D34" s="287"/>
      <c r="E34" s="280"/>
      <c r="F34" s="261"/>
      <c r="G34" s="178"/>
      <c r="H34" s="183"/>
      <c r="I34" s="179"/>
      <c r="J34" s="179"/>
      <c r="K34" s="179"/>
      <c r="L34" s="179"/>
      <c r="M34" s="179"/>
      <c r="N34" s="179"/>
      <c r="O34" s="180"/>
      <c r="P34" s="30"/>
    </row>
    <row r="35" spans="2:16" ht="17.75" customHeight="1" x14ac:dyDescent="0.2">
      <c r="B35" s="37" t="s">
        <v>40</v>
      </c>
      <c r="C35" s="266"/>
      <c r="D35" s="20"/>
      <c r="E35" s="282">
        <v>41474</v>
      </c>
      <c r="F35" s="270"/>
      <c r="G35" s="177">
        <f>G33+G25</f>
        <v>41674</v>
      </c>
      <c r="H35" s="175"/>
      <c r="I35" s="30">
        <f>SUM(I25+I33)</f>
        <v>29893.4</v>
      </c>
      <c r="J35" s="30">
        <f>SUM(J25+J32)</f>
        <v>2512.1</v>
      </c>
      <c r="K35" s="30">
        <f>SUM(K25+K32)</f>
        <v>6187.5</v>
      </c>
      <c r="L35" s="30">
        <f>SUM(L25+L32)</f>
        <v>667.5</v>
      </c>
      <c r="M35" s="30">
        <f>SUM(M25+M32)</f>
        <v>2113.5</v>
      </c>
      <c r="N35" s="30">
        <f>SUM(N25+N32)</f>
        <v>300</v>
      </c>
      <c r="O35" s="30">
        <f>SUM(O25+O33)</f>
        <v>41674</v>
      </c>
      <c r="P35" s="39">
        <f>SUM(P25+P33)</f>
        <v>6200</v>
      </c>
    </row>
    <row r="36" spans="2:16" ht="17.25" customHeight="1" x14ac:dyDescent="0.2">
      <c r="B36" s="12"/>
      <c r="C36" s="168"/>
      <c r="D36" s="16"/>
      <c r="E36" s="276"/>
      <c r="F36" s="174"/>
      <c r="G36" s="40"/>
      <c r="H36" s="36"/>
      <c r="I36" s="41"/>
      <c r="J36" s="41"/>
      <c r="K36" s="41"/>
      <c r="L36" s="41"/>
      <c r="M36" s="41"/>
      <c r="N36" s="41"/>
      <c r="O36" s="33"/>
      <c r="P36" s="33"/>
    </row>
    <row r="37" spans="2:16" ht="16.75" customHeight="1" x14ac:dyDescent="0.2">
      <c r="B37" s="21" t="s">
        <v>41</v>
      </c>
      <c r="C37" s="265"/>
      <c r="D37" s="20"/>
      <c r="E37" s="276"/>
      <c r="F37" s="174"/>
      <c r="G37" s="35"/>
      <c r="H37" s="36"/>
      <c r="I37" s="26"/>
      <c r="J37" s="26"/>
      <c r="K37" s="26"/>
      <c r="L37" s="26"/>
      <c r="M37" s="26"/>
      <c r="N37" s="26"/>
      <c r="O37" s="27"/>
      <c r="P37" s="27"/>
    </row>
    <row r="38" spans="2:16" ht="17.25" customHeight="1" x14ac:dyDescent="0.2">
      <c r="B38" s="13" t="s">
        <v>42</v>
      </c>
      <c r="C38" s="167"/>
      <c r="D38" s="16">
        <v>2</v>
      </c>
      <c r="E38" s="28">
        <v>15007.499999999998</v>
      </c>
      <c r="F38" s="169"/>
      <c r="G38" s="28">
        <f>SUM(I38:N38)</f>
        <v>14807.499999999998</v>
      </c>
      <c r="H38" s="25">
        <f>G38/$G$41</f>
        <v>0.26216548781459414</v>
      </c>
      <c r="I38" s="184">
        <v>9537.5999999999985</v>
      </c>
      <c r="J38" s="184">
        <v>1075.4000000000001</v>
      </c>
      <c r="K38" s="184">
        <v>2906.5</v>
      </c>
      <c r="L38" s="184">
        <v>150</v>
      </c>
      <c r="M38" s="184">
        <v>900</v>
      </c>
      <c r="N38" s="184">
        <v>238</v>
      </c>
      <c r="O38" s="30">
        <f>SUM(I38:N38)</f>
        <v>14807.499999999998</v>
      </c>
      <c r="P38" s="30"/>
    </row>
    <row r="39" spans="2:16" ht="17.25" customHeight="1" x14ac:dyDescent="0.2">
      <c r="B39" s="12"/>
      <c r="C39" s="168"/>
      <c r="D39" s="12"/>
      <c r="E39" s="28">
        <v>15007.499999999998</v>
      </c>
      <c r="F39" s="169"/>
      <c r="G39" s="31">
        <f>SUM(G38:G38)</f>
        <v>14807.499999999998</v>
      </c>
      <c r="H39" s="36"/>
      <c r="I39" s="33">
        <f t="shared" ref="I39:P39" si="4">SUM(I38:I38)</f>
        <v>9537.5999999999985</v>
      </c>
      <c r="J39" s="33">
        <f t="shared" si="4"/>
        <v>1075.4000000000001</v>
      </c>
      <c r="K39" s="33">
        <f t="shared" si="4"/>
        <v>2906.5</v>
      </c>
      <c r="L39" s="33">
        <f t="shared" si="4"/>
        <v>150</v>
      </c>
      <c r="M39" s="33">
        <f t="shared" si="4"/>
        <v>900</v>
      </c>
      <c r="N39" s="33">
        <f t="shared" si="4"/>
        <v>238</v>
      </c>
      <c r="O39" s="33">
        <f t="shared" si="4"/>
        <v>14807.499999999998</v>
      </c>
      <c r="P39" s="33">
        <f t="shared" si="4"/>
        <v>0</v>
      </c>
    </row>
    <row r="40" spans="2:16" ht="18.25" customHeight="1" thickBot="1" x14ac:dyDescent="0.25">
      <c r="B40" s="12"/>
      <c r="C40" s="168"/>
      <c r="D40" s="12"/>
      <c r="E40" s="277"/>
      <c r="F40" s="174"/>
      <c r="G40" s="42"/>
      <c r="H40" s="36"/>
      <c r="I40" s="43"/>
      <c r="J40" s="43"/>
      <c r="K40" s="43"/>
      <c r="L40" s="43"/>
      <c r="M40" s="43"/>
      <c r="N40" s="43"/>
      <c r="O40" s="44"/>
      <c r="P40" s="44"/>
    </row>
    <row r="41" spans="2:16" ht="18.75" customHeight="1" thickTop="1" x14ac:dyDescent="0.2">
      <c r="B41" s="21" t="s">
        <v>43</v>
      </c>
      <c r="C41" s="265"/>
      <c r="D41" s="22"/>
      <c r="E41" s="45">
        <v>56481.5</v>
      </c>
      <c r="F41" s="174"/>
      <c r="G41" s="45">
        <f>SUM(G35+G39)</f>
        <v>56481.5</v>
      </c>
      <c r="H41" s="25">
        <f>G41/$G$41</f>
        <v>1</v>
      </c>
      <c r="I41" s="46">
        <f t="shared" ref="I41:P41" si="5">SUM(I35+I39)</f>
        <v>39431</v>
      </c>
      <c r="J41" s="46">
        <f t="shared" si="5"/>
        <v>3587.5</v>
      </c>
      <c r="K41" s="46">
        <f t="shared" si="5"/>
        <v>9094</v>
      </c>
      <c r="L41" s="46">
        <f t="shared" si="5"/>
        <v>817.5</v>
      </c>
      <c r="M41" s="46">
        <f t="shared" si="5"/>
        <v>3013.5</v>
      </c>
      <c r="N41" s="46">
        <f t="shared" si="5"/>
        <v>538</v>
      </c>
      <c r="O41" s="46">
        <f t="shared" si="5"/>
        <v>56481.5</v>
      </c>
      <c r="P41" s="46">
        <f t="shared" si="5"/>
        <v>6200</v>
      </c>
    </row>
    <row r="42" spans="2:16" ht="17.25" customHeight="1" x14ac:dyDescent="0.2">
      <c r="B42" s="22"/>
      <c r="C42" s="173"/>
      <c r="D42" s="22"/>
      <c r="E42" s="34"/>
      <c r="F42" s="174"/>
      <c r="G42" s="33"/>
      <c r="H42" s="36"/>
      <c r="I42" s="33"/>
      <c r="J42" s="33"/>
      <c r="K42" s="33"/>
      <c r="L42" s="33"/>
      <c r="M42" s="33"/>
      <c r="N42" s="33"/>
      <c r="O42" s="33"/>
      <c r="P42" s="33"/>
    </row>
    <row r="43" spans="2:16" ht="16.75" hidden="1" customHeight="1" x14ac:dyDescent="0.2">
      <c r="B43" s="21" t="s">
        <v>44</v>
      </c>
      <c r="C43" s="265"/>
      <c r="D43" s="22"/>
      <c r="E43" s="34"/>
      <c r="F43" s="174"/>
      <c r="G43" s="27">
        <v>56276</v>
      </c>
      <c r="H43" s="36"/>
      <c r="I43" s="27"/>
      <c r="J43" s="27"/>
      <c r="K43" s="27"/>
      <c r="L43" s="27"/>
      <c r="M43" s="27"/>
      <c r="N43" s="27"/>
      <c r="O43" s="27"/>
      <c r="P43" s="27"/>
    </row>
    <row r="44" spans="2:16" ht="16.75" hidden="1" customHeight="1" x14ac:dyDescent="0.2">
      <c r="B44" s="22"/>
      <c r="C44" s="173"/>
      <c r="D44" s="22"/>
      <c r="E44" s="34"/>
      <c r="F44" s="174"/>
      <c r="G44" s="27"/>
      <c r="H44" s="36"/>
      <c r="I44" s="27"/>
      <c r="J44" s="27"/>
      <c r="K44" s="27"/>
      <c r="L44" s="27"/>
      <c r="M44" s="27"/>
      <c r="N44" s="27"/>
      <c r="O44" s="27"/>
      <c r="P44" s="27"/>
    </row>
    <row r="45" spans="2:16" ht="16.75" hidden="1" customHeight="1" x14ac:dyDescent="0.2">
      <c r="B45" s="22"/>
      <c r="C45" s="173"/>
      <c r="D45" s="22"/>
      <c r="E45" s="34"/>
      <c r="F45" s="174"/>
      <c r="G45" s="47" t="s">
        <v>10</v>
      </c>
      <c r="H45" s="36"/>
      <c r="I45" s="47" t="s">
        <v>11</v>
      </c>
      <c r="J45" s="47" t="s">
        <v>12</v>
      </c>
      <c r="K45" s="47" t="s">
        <v>13</v>
      </c>
      <c r="L45" s="47" t="s">
        <v>14</v>
      </c>
      <c r="M45" s="47" t="s">
        <v>15</v>
      </c>
      <c r="N45" s="47" t="s">
        <v>16</v>
      </c>
      <c r="O45" s="47" t="s">
        <v>17</v>
      </c>
      <c r="P45" s="27"/>
    </row>
    <row r="46" spans="2:16" ht="16.75" hidden="1" customHeight="1" x14ac:dyDescent="0.2">
      <c r="B46" s="22"/>
      <c r="C46" s="173"/>
      <c r="D46" s="22"/>
      <c r="E46" s="34"/>
      <c r="F46" s="174"/>
      <c r="G46" s="48" t="s">
        <v>45</v>
      </c>
      <c r="H46" s="18"/>
      <c r="I46" s="18"/>
      <c r="J46" s="18"/>
      <c r="K46" s="18"/>
      <c r="L46" s="48" t="s">
        <v>46</v>
      </c>
      <c r="M46" s="48" t="s">
        <v>47</v>
      </c>
      <c r="N46" s="48" t="s">
        <v>47</v>
      </c>
      <c r="O46" s="49"/>
      <c r="P46" s="27"/>
    </row>
    <row r="47" spans="2:16" ht="16.75" hidden="1" customHeight="1" x14ac:dyDescent="0.2">
      <c r="B47" s="21" t="s">
        <v>48</v>
      </c>
      <c r="C47" s="265"/>
      <c r="D47" s="22"/>
      <c r="E47" s="34"/>
      <c r="F47" s="174"/>
      <c r="G47" s="50" t="s">
        <v>49</v>
      </c>
      <c r="H47" s="47" t="s">
        <v>50</v>
      </c>
      <c r="I47" s="50" t="s">
        <v>51</v>
      </c>
      <c r="J47" s="50" t="s">
        <v>52</v>
      </c>
      <c r="K47" s="50" t="s">
        <v>53</v>
      </c>
      <c r="L47" s="51" t="s">
        <v>54</v>
      </c>
      <c r="M47" s="51" t="s">
        <v>55</v>
      </c>
      <c r="N47" s="51" t="s">
        <v>56</v>
      </c>
      <c r="O47" s="27"/>
      <c r="P47" s="27"/>
    </row>
    <row r="48" spans="2:16" ht="16.75" hidden="1" customHeight="1" x14ac:dyDescent="0.2">
      <c r="B48" s="21" t="s">
        <v>3</v>
      </c>
      <c r="C48" s="265"/>
      <c r="D48" s="22"/>
      <c r="E48" s="34">
        <v>25</v>
      </c>
      <c r="F48" s="174"/>
      <c r="G48" s="26">
        <f>I41/34*5</f>
        <v>5798.6764705882351</v>
      </c>
      <c r="H48" s="36">
        <v>5</v>
      </c>
      <c r="I48" s="26">
        <f>J41</f>
        <v>3587.5</v>
      </c>
      <c r="J48" s="26">
        <f>SUM(G48:I48)</f>
        <v>9391.1764705882342</v>
      </c>
      <c r="K48" s="26">
        <f>J48/5</f>
        <v>1878.2352941176468</v>
      </c>
      <c r="L48" s="52">
        <v>9.1000000000000004E-3</v>
      </c>
      <c r="M48" s="53">
        <f>K48-K56</f>
        <v>17.615294117646727</v>
      </c>
      <c r="N48" s="54">
        <f>M48/12</f>
        <v>1.4679411764705605</v>
      </c>
      <c r="O48" s="55" t="s">
        <v>57</v>
      </c>
      <c r="P48" s="27"/>
    </row>
    <row r="49" spans="2:16" ht="16.75" hidden="1" customHeight="1" x14ac:dyDescent="0.2">
      <c r="B49" s="21" t="s">
        <v>4</v>
      </c>
      <c r="C49" s="265"/>
      <c r="D49" s="22"/>
      <c r="E49" s="34">
        <v>26</v>
      </c>
      <c r="F49" s="174"/>
      <c r="G49" s="26">
        <f>I41/34*9</f>
        <v>10437.617647058823</v>
      </c>
      <c r="H49" s="36">
        <v>9</v>
      </c>
      <c r="I49" s="26">
        <f>K41</f>
        <v>9094</v>
      </c>
      <c r="J49" s="26">
        <f>SUM(G49:I49)</f>
        <v>19540.617647058825</v>
      </c>
      <c r="K49" s="26">
        <f>J49/9</f>
        <v>2171.1797385620916</v>
      </c>
      <c r="L49" s="52">
        <v>2.69E-2</v>
      </c>
      <c r="M49" s="53">
        <f>K49-K57</f>
        <v>56.737516339869671</v>
      </c>
      <c r="N49" s="56">
        <f>M49/12</f>
        <v>4.7281263616558062</v>
      </c>
      <c r="O49" s="27"/>
      <c r="P49" s="27"/>
    </row>
    <row r="50" spans="2:16" ht="16.75" hidden="1" customHeight="1" x14ac:dyDescent="0.2">
      <c r="B50" s="21" t="s">
        <v>5</v>
      </c>
      <c r="C50" s="265"/>
      <c r="D50" s="22"/>
      <c r="E50" s="34">
        <v>28</v>
      </c>
      <c r="F50" s="174"/>
      <c r="G50" s="26">
        <f>I41/34*3</f>
        <v>3479.2058823529414</v>
      </c>
      <c r="H50" s="36">
        <v>3</v>
      </c>
      <c r="I50" s="26">
        <f>L41</f>
        <v>817.5</v>
      </c>
      <c r="J50" s="26">
        <f>SUM(G50:I50)</f>
        <v>4299.7058823529414</v>
      </c>
      <c r="K50" s="26">
        <f>J50/3</f>
        <v>1433.2352941176471</v>
      </c>
      <c r="L50" s="52">
        <v>-0.1067</v>
      </c>
      <c r="M50" s="57">
        <f>K50-K58</f>
        <v>-84.318039215686213</v>
      </c>
      <c r="N50" s="54">
        <f>M50/12</f>
        <v>-7.0265032679738511</v>
      </c>
      <c r="O50" s="55" t="s">
        <v>58</v>
      </c>
      <c r="P50" s="27"/>
    </row>
    <row r="51" spans="2:16" ht="16.75" hidden="1" customHeight="1" x14ac:dyDescent="0.2">
      <c r="B51" s="21" t="s">
        <v>59</v>
      </c>
      <c r="C51" s="265"/>
      <c r="D51" s="22"/>
      <c r="E51" s="34">
        <v>29</v>
      </c>
      <c r="F51" s="174"/>
      <c r="G51" s="26">
        <f>I41/34*8</f>
        <v>9277.8823529411766</v>
      </c>
      <c r="H51" s="36">
        <v>8</v>
      </c>
      <c r="I51" s="26">
        <f>M41</f>
        <v>3013.5</v>
      </c>
      <c r="J51" s="26">
        <f>SUM(G51:I51)</f>
        <v>12299.382352941177</v>
      </c>
      <c r="K51" s="26">
        <f>J51/7</f>
        <v>1757.0546218487395</v>
      </c>
      <c r="L51" s="52">
        <v>9.1000000000000004E-3</v>
      </c>
      <c r="M51" s="57">
        <f>K51-K59</f>
        <v>15.660336134453701</v>
      </c>
      <c r="N51" s="56">
        <f>M51/12</f>
        <v>1.305028011204475</v>
      </c>
      <c r="O51" s="27"/>
      <c r="P51" s="27"/>
    </row>
    <row r="52" spans="2:16" ht="16.75" hidden="1" customHeight="1" x14ac:dyDescent="0.2">
      <c r="B52" s="21" t="s">
        <v>7</v>
      </c>
      <c r="C52" s="265"/>
      <c r="D52" s="22"/>
      <c r="E52" s="34">
        <v>30</v>
      </c>
      <c r="F52" s="174"/>
      <c r="G52" s="26">
        <f>I41/34*12</f>
        <v>13916.823529411766</v>
      </c>
      <c r="H52" s="36">
        <v>12</v>
      </c>
      <c r="I52" s="26">
        <f>N41</f>
        <v>538</v>
      </c>
      <c r="J52" s="26">
        <f>SUM(G52:I52)</f>
        <v>14466.823529411766</v>
      </c>
      <c r="K52" s="26">
        <f>J52/12</f>
        <v>1205.5686274509806</v>
      </c>
      <c r="L52" s="52">
        <v>3.8699999999999998E-2</v>
      </c>
      <c r="M52" s="58">
        <f>K52-K60</f>
        <v>44.34862745098053</v>
      </c>
      <c r="N52" s="59">
        <f>M52/12</f>
        <v>3.6957189542483775</v>
      </c>
      <c r="O52" s="55" t="s">
        <v>60</v>
      </c>
      <c r="P52" s="27"/>
    </row>
    <row r="53" spans="2:16" ht="16.75" hidden="1" customHeight="1" x14ac:dyDescent="0.2">
      <c r="B53" s="22"/>
      <c r="C53" s="173"/>
      <c r="D53" s="22"/>
      <c r="E53" s="34"/>
      <c r="F53" s="174"/>
      <c r="G53" s="27"/>
      <c r="H53" s="36"/>
      <c r="I53" s="27"/>
      <c r="J53" s="27"/>
      <c r="K53" s="27"/>
      <c r="L53" s="27"/>
      <c r="M53" s="27"/>
      <c r="N53" s="27"/>
      <c r="O53" s="27"/>
      <c r="P53" s="27"/>
    </row>
    <row r="54" spans="2:16" ht="16.75" hidden="1" customHeight="1" x14ac:dyDescent="0.2">
      <c r="B54" s="22"/>
      <c r="C54" s="173"/>
      <c r="D54" s="22"/>
      <c r="E54" s="34"/>
      <c r="F54" s="174"/>
      <c r="G54" s="48" t="s">
        <v>61</v>
      </c>
      <c r="H54" s="18"/>
      <c r="I54" s="18"/>
      <c r="J54" s="18"/>
      <c r="K54" s="18"/>
      <c r="L54" s="60"/>
      <c r="M54" s="60"/>
      <c r="N54" s="60"/>
      <c r="O54" s="60"/>
      <c r="P54" s="27"/>
    </row>
    <row r="55" spans="2:16" ht="16.75" hidden="1" customHeight="1" x14ac:dyDescent="0.2">
      <c r="B55" s="21" t="s">
        <v>48</v>
      </c>
      <c r="C55" s="265"/>
      <c r="D55" s="22"/>
      <c r="E55" s="34"/>
      <c r="F55" s="174"/>
      <c r="G55" s="50" t="s">
        <v>49</v>
      </c>
      <c r="H55" s="47" t="s">
        <v>50</v>
      </c>
      <c r="I55" s="50" t="s">
        <v>51</v>
      </c>
      <c r="J55" s="50" t="s">
        <v>52</v>
      </c>
      <c r="K55" s="50" t="s">
        <v>53</v>
      </c>
      <c r="L55" s="27"/>
      <c r="M55" s="27"/>
      <c r="N55" s="27"/>
      <c r="O55" s="27"/>
      <c r="P55" s="27"/>
    </row>
    <row r="56" spans="2:16" ht="16.75" hidden="1" customHeight="1" x14ac:dyDescent="0.2">
      <c r="B56" s="21" t="s">
        <v>3</v>
      </c>
      <c r="C56" s="265"/>
      <c r="D56" s="22"/>
      <c r="E56" s="34">
        <v>31</v>
      </c>
      <c r="F56" s="174"/>
      <c r="G56" s="26">
        <f>1160.22*5</f>
        <v>5801.1</v>
      </c>
      <c r="H56" s="36">
        <v>5</v>
      </c>
      <c r="I56" s="26">
        <v>3497</v>
      </c>
      <c r="J56" s="26">
        <f>SUM(G56:I56)</f>
        <v>9303.1</v>
      </c>
      <c r="K56" s="26">
        <f>J56/5</f>
        <v>1860.6200000000001</v>
      </c>
      <c r="L56" s="27"/>
      <c r="M56" s="27"/>
      <c r="N56" s="27"/>
      <c r="O56" s="27"/>
      <c r="P56" s="27"/>
    </row>
    <row r="57" spans="2:16" ht="16.75" hidden="1" customHeight="1" x14ac:dyDescent="0.2">
      <c r="B57" s="21" t="s">
        <v>4</v>
      </c>
      <c r="C57" s="265"/>
      <c r="D57" s="22"/>
      <c r="E57" s="34">
        <v>32</v>
      </c>
      <c r="F57" s="174"/>
      <c r="G57" s="26">
        <f>1160.22*9</f>
        <v>10441.98</v>
      </c>
      <c r="H57" s="36">
        <v>9</v>
      </c>
      <c r="I57" s="26">
        <v>8579</v>
      </c>
      <c r="J57" s="26">
        <f>SUM(G57:I57)</f>
        <v>19029.98</v>
      </c>
      <c r="K57" s="26">
        <f>J57/9</f>
        <v>2114.442222222222</v>
      </c>
      <c r="L57" s="27"/>
      <c r="M57" s="27"/>
      <c r="N57" s="27"/>
      <c r="O57" s="27"/>
      <c r="P57" s="27"/>
    </row>
    <row r="58" spans="2:16" ht="16.75" hidden="1" customHeight="1" x14ac:dyDescent="0.2">
      <c r="B58" s="21" t="s">
        <v>5</v>
      </c>
      <c r="C58" s="265"/>
      <c r="D58" s="22"/>
      <c r="E58" s="34">
        <v>33</v>
      </c>
      <c r="F58" s="174"/>
      <c r="G58" s="26">
        <f>1160.22*3</f>
        <v>3480.66</v>
      </c>
      <c r="H58" s="36">
        <v>3</v>
      </c>
      <c r="I58" s="26">
        <v>1069</v>
      </c>
      <c r="J58" s="26">
        <f>SUM(G58:I58)</f>
        <v>4552.66</v>
      </c>
      <c r="K58" s="26">
        <f>J58/3</f>
        <v>1517.5533333333333</v>
      </c>
      <c r="L58" s="27"/>
      <c r="M58" s="27"/>
      <c r="N58" s="27"/>
      <c r="O58" s="27"/>
      <c r="P58" s="27"/>
    </row>
    <row r="59" spans="2:16" ht="16.75" hidden="1" customHeight="1" x14ac:dyDescent="0.2">
      <c r="B59" s="21" t="s">
        <v>59</v>
      </c>
      <c r="C59" s="265"/>
      <c r="D59" s="22"/>
      <c r="E59" s="34">
        <v>34</v>
      </c>
      <c r="F59" s="174"/>
      <c r="G59" s="26">
        <f>1160.22*8</f>
        <v>9281.76</v>
      </c>
      <c r="H59" s="36">
        <v>8</v>
      </c>
      <c r="I59" s="26">
        <v>2900</v>
      </c>
      <c r="J59" s="26">
        <f>SUM(G59:I59)</f>
        <v>12189.76</v>
      </c>
      <c r="K59" s="26">
        <f>J59/7</f>
        <v>1741.3942857142858</v>
      </c>
      <c r="L59" s="27"/>
      <c r="M59" s="27"/>
      <c r="N59" s="27"/>
      <c r="O59" s="27"/>
      <c r="P59" s="27"/>
    </row>
    <row r="60" spans="2:16" ht="16.75" hidden="1" customHeight="1" x14ac:dyDescent="0.2">
      <c r="B60" s="21" t="s">
        <v>7</v>
      </c>
      <c r="C60" s="265"/>
      <c r="D60" s="22"/>
      <c r="E60" s="34">
        <v>35</v>
      </c>
      <c r="F60" s="174"/>
      <c r="G60" s="26">
        <f>1160.22*12</f>
        <v>13922.64</v>
      </c>
      <c r="H60" s="36">
        <v>12</v>
      </c>
      <c r="I60" s="26">
        <v>0</v>
      </c>
      <c r="J60" s="26">
        <f>SUM(G60:I60)</f>
        <v>13934.64</v>
      </c>
      <c r="K60" s="26">
        <f>J60/12</f>
        <v>1161.22</v>
      </c>
      <c r="L60" s="27"/>
      <c r="M60" s="27"/>
      <c r="N60" s="27"/>
      <c r="O60" s="27"/>
      <c r="P60" s="27"/>
    </row>
    <row r="61" spans="2:16" ht="16.75" hidden="1" customHeight="1" x14ac:dyDescent="0.2">
      <c r="B61" s="22"/>
      <c r="C61" s="173"/>
      <c r="D61" s="22"/>
      <c r="E61" s="34"/>
      <c r="F61" s="174"/>
      <c r="G61" s="27"/>
      <c r="H61" s="36"/>
      <c r="I61" s="27"/>
      <c r="J61" s="27"/>
      <c r="K61" s="27"/>
      <c r="L61" s="27"/>
      <c r="M61" s="27"/>
      <c r="N61" s="27"/>
      <c r="O61" s="27"/>
      <c r="P61" s="27"/>
    </row>
    <row r="62" spans="2:16" ht="16.75" hidden="1" customHeight="1" x14ac:dyDescent="0.2">
      <c r="B62" s="22"/>
      <c r="C62" s="173"/>
      <c r="D62" s="22"/>
      <c r="E62" s="34"/>
      <c r="F62" s="174"/>
      <c r="G62" s="27"/>
      <c r="H62" s="61" t="s">
        <v>62</v>
      </c>
      <c r="I62" s="27"/>
      <c r="J62" s="27"/>
      <c r="K62" s="27"/>
      <c r="L62" s="27"/>
      <c r="M62" s="27"/>
      <c r="N62" s="62"/>
      <c r="O62" s="27"/>
      <c r="P62" s="27"/>
    </row>
  </sheetData>
  <mergeCells count="8">
    <mergeCell ref="K4:K5"/>
    <mergeCell ref="J4:J5"/>
    <mergeCell ref="I4:I5"/>
    <mergeCell ref="P4:P5"/>
    <mergeCell ref="O4:O5"/>
    <mergeCell ref="N4:N5"/>
    <mergeCell ref="M4:M5"/>
    <mergeCell ref="L4:L5"/>
  </mergeCells>
  <phoneticPr fontId="23" type="noConversion"/>
  <conditionalFormatting sqref="B5:G5">
    <cfRule type="cellIs" dxfId="2" priority="1" stopIfTrue="1" operator="lessThan">
      <formula>0</formula>
    </cfRule>
  </conditionalFormatting>
  <pageMargins left="0.39" right="0.39" top="0.59" bottom="0.59" header="0.3" footer="0.3"/>
  <pageSetup paperSize="9" scale="61" orientation="portrait"/>
  <headerFooter>
    <oddHeader>&amp;L&amp;K000000Lawton Hall Management Limited&amp;C&amp;K000000Budget for 2019 - 2020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Ruler="0" workbookViewId="0">
      <selection activeCell="D5" sqref="D5"/>
    </sheetView>
  </sheetViews>
  <sheetFormatPr baseColWidth="10" defaultRowHeight="13" x14ac:dyDescent="0.15"/>
  <sheetData>
    <row r="1" spans="1:4" x14ac:dyDescent="0.15">
      <c r="A1" t="s">
        <v>255</v>
      </c>
    </row>
    <row r="2" spans="1:4" x14ac:dyDescent="0.15">
      <c r="A2">
        <v>1</v>
      </c>
      <c r="B2" t="s">
        <v>256</v>
      </c>
      <c r="D2" t="s">
        <v>257</v>
      </c>
    </row>
    <row r="3" spans="1:4" x14ac:dyDescent="0.15">
      <c r="A3">
        <v>2</v>
      </c>
      <c r="B3" t="s">
        <v>258</v>
      </c>
      <c r="D3" t="s">
        <v>259</v>
      </c>
    </row>
    <row r="4" spans="1:4" x14ac:dyDescent="0.15">
      <c r="A4">
        <v>3</v>
      </c>
      <c r="B4" t="s">
        <v>260</v>
      </c>
      <c r="D4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showGridLines="0" showRuler="0" workbookViewId="0">
      <pane xSplit="1" ySplit="4" topLeftCell="B5" activePane="bottomRight" state="frozen"/>
      <selection pane="topRight"/>
      <selection pane="bottomLeft"/>
      <selection pane="bottomRight" activeCell="AA17" sqref="AA17"/>
    </sheetView>
  </sheetViews>
  <sheetFormatPr baseColWidth="10" defaultColWidth="13.33203125" defaultRowHeight="13.5" customHeight="1" x14ac:dyDescent="0.15"/>
  <cols>
    <col min="1" max="1" width="33.1640625" style="63" customWidth="1"/>
    <col min="2" max="2" width="7.5" style="63" customWidth="1"/>
    <col min="3" max="3" width="10.5" style="63" customWidth="1"/>
    <col min="4" max="4" width="3.1640625" style="63" customWidth="1"/>
    <col min="5" max="10" width="8.6640625" style="63" hidden="1" customWidth="1"/>
    <col min="11" max="11" width="10.5" style="63" hidden="1" customWidth="1"/>
    <col min="12" max="12" width="2.6640625" style="63" hidden="1" customWidth="1"/>
    <col min="13" max="18" width="8.6640625" style="63" hidden="1" customWidth="1"/>
    <col min="19" max="19" width="10.5" style="63" hidden="1" customWidth="1"/>
    <col min="20" max="20" width="2.6640625" style="63" hidden="1" customWidth="1"/>
    <col min="21" max="21" width="10.5" style="63" hidden="1" customWidth="1"/>
    <col min="22" max="22" width="2.6640625" style="63" hidden="1" customWidth="1"/>
    <col min="23" max="23" width="10.5" style="63" hidden="1" customWidth="1"/>
    <col min="24" max="256" width="13.33203125" customWidth="1"/>
  </cols>
  <sheetData>
    <row r="1" spans="1:23" ht="18" customHeight="1" x14ac:dyDescent="0.2">
      <c r="A1" s="2" t="s">
        <v>0</v>
      </c>
      <c r="B1" s="16"/>
      <c r="C1" s="64" t="s">
        <v>63</v>
      </c>
      <c r="D1" s="11"/>
      <c r="E1" s="65"/>
      <c r="F1" s="18"/>
      <c r="G1" s="65"/>
      <c r="H1" s="2" t="s">
        <v>64</v>
      </c>
      <c r="I1" s="18"/>
      <c r="J1" s="18"/>
      <c r="K1" s="66" t="s">
        <v>63</v>
      </c>
      <c r="L1" s="67"/>
      <c r="M1" s="65"/>
      <c r="N1" s="18"/>
      <c r="O1" s="18"/>
      <c r="P1" s="2" t="s">
        <v>65</v>
      </c>
      <c r="Q1" s="18"/>
      <c r="R1" s="18"/>
      <c r="S1" s="66" t="s">
        <v>63</v>
      </c>
      <c r="T1" s="18"/>
      <c r="U1" s="64" t="s">
        <v>63</v>
      </c>
      <c r="V1" s="11"/>
      <c r="W1" s="14" t="s">
        <v>63</v>
      </c>
    </row>
    <row r="2" spans="1:23" ht="15.5" customHeight="1" x14ac:dyDescent="0.2">
      <c r="A2" s="12"/>
      <c r="B2" s="20"/>
      <c r="C2" s="64" t="s">
        <v>1</v>
      </c>
      <c r="D2" s="12"/>
      <c r="E2" s="18"/>
      <c r="F2" s="18"/>
      <c r="G2" s="18"/>
      <c r="H2" s="18"/>
      <c r="I2" s="18"/>
      <c r="J2" s="18"/>
      <c r="K2" s="66" t="s">
        <v>66</v>
      </c>
      <c r="L2" s="18"/>
      <c r="M2" s="18"/>
      <c r="N2" s="18"/>
      <c r="O2" s="18"/>
      <c r="P2" s="18"/>
      <c r="Q2" s="18"/>
      <c r="R2" s="18"/>
      <c r="S2" s="68" t="s">
        <v>67</v>
      </c>
      <c r="T2" s="18"/>
      <c r="U2" s="64" t="s">
        <v>68</v>
      </c>
      <c r="V2" s="12"/>
      <c r="W2" s="19" t="s">
        <v>69</v>
      </c>
    </row>
    <row r="3" spans="1:23" ht="25.5" customHeight="1" x14ac:dyDescent="0.2">
      <c r="A3" s="12"/>
      <c r="B3" s="20"/>
      <c r="C3" s="69"/>
      <c r="D3" s="12"/>
      <c r="E3" s="70" t="s">
        <v>2</v>
      </c>
      <c r="F3" s="66" t="s">
        <v>3</v>
      </c>
      <c r="G3" s="66" t="s">
        <v>4</v>
      </c>
      <c r="H3" s="66" t="s">
        <v>5</v>
      </c>
      <c r="I3" s="70" t="s">
        <v>70</v>
      </c>
      <c r="J3" s="66" t="s">
        <v>7</v>
      </c>
      <c r="K3" s="66" t="s">
        <v>71</v>
      </c>
      <c r="L3" s="18"/>
      <c r="M3" s="70" t="s">
        <v>2</v>
      </c>
      <c r="N3" s="70" t="s">
        <v>3</v>
      </c>
      <c r="O3" s="70" t="s">
        <v>4</v>
      </c>
      <c r="P3" s="70" t="s">
        <v>5</v>
      </c>
      <c r="Q3" s="70" t="s">
        <v>72</v>
      </c>
      <c r="R3" s="70" t="s">
        <v>7</v>
      </c>
      <c r="S3" s="68" t="s">
        <v>73</v>
      </c>
      <c r="T3" s="18"/>
      <c r="U3" s="71" t="s">
        <v>52</v>
      </c>
      <c r="V3" s="12"/>
      <c r="W3" s="19" t="s">
        <v>74</v>
      </c>
    </row>
    <row r="4" spans="1:23" ht="15.5" customHeight="1" x14ac:dyDescent="0.15">
      <c r="A4" s="11"/>
      <c r="B4" s="15"/>
      <c r="C4" s="64" t="s">
        <v>9</v>
      </c>
      <c r="D4" s="11"/>
      <c r="E4" s="72"/>
      <c r="F4" s="73"/>
      <c r="G4" s="73"/>
      <c r="H4" s="73"/>
      <c r="I4" s="72"/>
      <c r="J4" s="73"/>
      <c r="K4" s="66" t="s">
        <v>75</v>
      </c>
      <c r="L4" s="18"/>
      <c r="M4" s="18"/>
      <c r="N4" s="18"/>
      <c r="O4" s="18"/>
      <c r="P4" s="18"/>
      <c r="Q4" s="18"/>
      <c r="R4" s="18"/>
      <c r="S4" s="66" t="s">
        <v>75</v>
      </c>
      <c r="T4" s="18"/>
      <c r="U4" s="64" t="s">
        <v>9</v>
      </c>
      <c r="V4" s="11"/>
      <c r="W4" s="14" t="s">
        <v>9</v>
      </c>
    </row>
    <row r="5" spans="1:23" ht="15.5" customHeight="1" x14ac:dyDescent="0.2">
      <c r="A5" s="12"/>
      <c r="B5" s="16"/>
      <c r="C5" s="12"/>
      <c r="D5" s="12"/>
      <c r="E5" s="74"/>
      <c r="F5" s="74"/>
      <c r="G5" s="74"/>
      <c r="H5" s="74"/>
      <c r="I5" s="74"/>
      <c r="J5" s="74"/>
      <c r="K5" s="18"/>
      <c r="L5" s="18"/>
      <c r="M5" s="75"/>
      <c r="N5" s="75"/>
      <c r="O5" s="75"/>
      <c r="P5" s="75"/>
      <c r="Q5" s="75"/>
      <c r="R5" s="75"/>
      <c r="S5" s="18"/>
      <c r="T5" s="18"/>
      <c r="U5" s="12"/>
      <c r="V5" s="12"/>
      <c r="W5" s="12"/>
    </row>
    <row r="6" spans="1:23" ht="15.5" customHeight="1" x14ac:dyDescent="0.2">
      <c r="A6" s="12"/>
      <c r="B6" s="16"/>
      <c r="C6" s="64" t="s">
        <v>76</v>
      </c>
      <c r="D6" s="76"/>
      <c r="E6" s="74"/>
      <c r="F6" s="74"/>
      <c r="G6" s="74"/>
      <c r="H6" s="74"/>
      <c r="I6" s="74"/>
      <c r="J6" s="74"/>
      <c r="K6" s="77" t="s">
        <v>77</v>
      </c>
      <c r="L6" s="78"/>
      <c r="M6" s="75"/>
      <c r="N6" s="75"/>
      <c r="O6" s="75"/>
      <c r="P6" s="75"/>
      <c r="Q6" s="75"/>
      <c r="R6" s="75"/>
      <c r="S6" s="77" t="s">
        <v>78</v>
      </c>
      <c r="T6" s="78"/>
      <c r="U6" s="64" t="s">
        <v>79</v>
      </c>
      <c r="V6" s="76"/>
      <c r="W6" s="79" t="s">
        <v>80</v>
      </c>
    </row>
    <row r="7" spans="1:23" ht="15.5" customHeight="1" x14ac:dyDescent="0.2">
      <c r="A7" s="21" t="s">
        <v>18</v>
      </c>
      <c r="B7" s="16"/>
      <c r="C7" s="20"/>
      <c r="D7" s="12"/>
      <c r="E7" s="80"/>
      <c r="F7" s="80"/>
      <c r="G7" s="80"/>
      <c r="H7" s="80"/>
      <c r="I7" s="80"/>
      <c r="J7" s="80"/>
      <c r="K7" s="81"/>
      <c r="L7" s="18"/>
      <c r="M7" s="80"/>
      <c r="N7" s="80"/>
      <c r="O7" s="80"/>
      <c r="P7" s="80"/>
      <c r="Q7" s="80"/>
      <c r="R7" s="80"/>
      <c r="S7" s="81"/>
      <c r="T7" s="18"/>
      <c r="U7" s="20"/>
      <c r="V7" s="20"/>
      <c r="W7" s="20"/>
    </row>
    <row r="8" spans="1:23" ht="15.5" customHeight="1" x14ac:dyDescent="0.2">
      <c r="A8" s="37" t="s">
        <v>19</v>
      </c>
      <c r="B8" s="82" t="s">
        <v>20</v>
      </c>
      <c r="C8" s="71" t="s">
        <v>21</v>
      </c>
      <c r="D8" s="12"/>
      <c r="E8" s="83" t="s">
        <v>21</v>
      </c>
      <c r="F8" s="83" t="s">
        <v>21</v>
      </c>
      <c r="G8" s="83" t="s">
        <v>21</v>
      </c>
      <c r="H8" s="83" t="s">
        <v>21</v>
      </c>
      <c r="I8" s="83" t="s">
        <v>21</v>
      </c>
      <c r="J8" s="83" t="s">
        <v>21</v>
      </c>
      <c r="K8" s="68" t="s">
        <v>21</v>
      </c>
      <c r="L8" s="18"/>
      <c r="M8" s="83" t="s">
        <v>21</v>
      </c>
      <c r="N8" s="83" t="s">
        <v>21</v>
      </c>
      <c r="O8" s="83" t="s">
        <v>21</v>
      </c>
      <c r="P8" s="83" t="s">
        <v>21</v>
      </c>
      <c r="Q8" s="83" t="s">
        <v>21</v>
      </c>
      <c r="R8" s="83" t="s">
        <v>21</v>
      </c>
      <c r="S8" s="68" t="s">
        <v>21</v>
      </c>
      <c r="T8" s="75"/>
      <c r="U8" s="71" t="s">
        <v>21</v>
      </c>
      <c r="V8" s="20"/>
      <c r="W8" s="84" t="s">
        <v>21</v>
      </c>
    </row>
    <row r="9" spans="1:23" ht="15.5" customHeight="1" x14ac:dyDescent="0.2">
      <c r="A9" s="85" t="s">
        <v>22</v>
      </c>
      <c r="B9" s="86">
        <v>1</v>
      </c>
      <c r="C9" s="87">
        <v>16108</v>
      </c>
      <c r="D9" s="88"/>
      <c r="E9" s="89">
        <f>SUM(1*1086.46)+(5*1234)</f>
        <v>7256.46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1">
        <f t="shared" ref="K9:K20" si="0">SUM(E9:J9)</f>
        <v>7256.46</v>
      </c>
      <c r="L9" s="91"/>
      <c r="M9" s="90">
        <f>(6*1234)</f>
        <v>7404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1">
        <f>SUM(M9:R9)</f>
        <v>7404</v>
      </c>
      <c r="T9" s="91"/>
      <c r="U9" s="92">
        <f t="shared" ref="U9:U31" si="1">SUM(K9+S9)</f>
        <v>14660.46</v>
      </c>
      <c r="V9" s="88"/>
      <c r="W9" s="93">
        <f t="shared" ref="W9:W31" si="2">SUM(C9-U9)</f>
        <v>1447.5400000000009</v>
      </c>
    </row>
    <row r="10" spans="1:23" ht="15.5" customHeight="1" x14ac:dyDescent="0.2">
      <c r="A10" s="85" t="s">
        <v>23</v>
      </c>
      <c r="B10" s="86">
        <v>2</v>
      </c>
      <c r="C10" s="87">
        <v>3500</v>
      </c>
      <c r="D10" s="88"/>
      <c r="E10" s="90">
        <v>628</v>
      </c>
      <c r="F10" s="90">
        <v>333</v>
      </c>
      <c r="G10" s="90">
        <v>432</v>
      </c>
      <c r="H10" s="90">
        <v>171</v>
      </c>
      <c r="I10" s="90">
        <v>0</v>
      </c>
      <c r="J10" s="90">
        <v>167</v>
      </c>
      <c r="K10" s="94">
        <f t="shared" si="0"/>
        <v>1731</v>
      </c>
      <c r="L10" s="91"/>
      <c r="M10" s="90">
        <f>S10*0.3627</f>
        <v>544.05000000000007</v>
      </c>
      <c r="N10" s="90">
        <f>S10*0.1924</f>
        <v>288.59999999999997</v>
      </c>
      <c r="O10" s="90">
        <f>S10*0.2496</f>
        <v>374.4</v>
      </c>
      <c r="P10" s="90">
        <f>S10*0.0988</f>
        <v>148.19999999999999</v>
      </c>
      <c r="Q10" s="90">
        <v>0</v>
      </c>
      <c r="R10" s="90">
        <f>S10*0.0965</f>
        <v>144.75</v>
      </c>
      <c r="S10" s="91">
        <v>1500</v>
      </c>
      <c r="T10" s="91"/>
      <c r="U10" s="92">
        <f t="shared" si="1"/>
        <v>3231</v>
      </c>
      <c r="V10" s="88"/>
      <c r="W10" s="93">
        <f t="shared" si="2"/>
        <v>269</v>
      </c>
    </row>
    <row r="11" spans="1:23" ht="15.5" customHeight="1" x14ac:dyDescent="0.2">
      <c r="A11" s="85" t="s">
        <v>24</v>
      </c>
      <c r="B11" s="86">
        <v>3</v>
      </c>
      <c r="C11" s="87">
        <v>500</v>
      </c>
      <c r="D11" s="88"/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1">
        <f t="shared" si="0"/>
        <v>0</v>
      </c>
      <c r="L11" s="91"/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1">
        <f t="shared" ref="S11:S31" si="3">SUM(M11:R11)</f>
        <v>0</v>
      </c>
      <c r="T11" s="91"/>
      <c r="U11" s="92">
        <f t="shared" si="1"/>
        <v>0</v>
      </c>
      <c r="V11" s="88"/>
      <c r="W11" s="93">
        <f t="shared" si="2"/>
        <v>500</v>
      </c>
    </row>
    <row r="12" spans="1:23" ht="15.5" customHeight="1" x14ac:dyDescent="0.2">
      <c r="A12" s="85" t="s">
        <v>25</v>
      </c>
      <c r="B12" s="86">
        <v>4</v>
      </c>
      <c r="C12" s="87">
        <v>2500</v>
      </c>
      <c r="D12" s="88"/>
      <c r="E12" s="89">
        <v>1620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1">
        <f t="shared" si="0"/>
        <v>1620</v>
      </c>
      <c r="L12" s="91"/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1">
        <f t="shared" si="3"/>
        <v>0</v>
      </c>
      <c r="T12" s="91"/>
      <c r="U12" s="92">
        <f t="shared" si="1"/>
        <v>1620</v>
      </c>
      <c r="V12" s="88"/>
      <c r="W12" s="93">
        <f t="shared" si="2"/>
        <v>880</v>
      </c>
    </row>
    <row r="13" spans="1:23" ht="15.5" customHeight="1" x14ac:dyDescent="0.2">
      <c r="A13" s="85" t="s">
        <v>26</v>
      </c>
      <c r="B13" s="86">
        <v>5</v>
      </c>
      <c r="C13" s="87">
        <v>1050</v>
      </c>
      <c r="D13" s="88"/>
      <c r="E13" s="89">
        <v>641.41</v>
      </c>
      <c r="F13" s="90">
        <v>0</v>
      </c>
      <c r="G13" s="90">
        <v>0</v>
      </c>
      <c r="H13" s="90">
        <v>0</v>
      </c>
      <c r="I13" s="75"/>
      <c r="J13" s="90">
        <v>0</v>
      </c>
      <c r="K13" s="91">
        <f t="shared" si="0"/>
        <v>641.41</v>
      </c>
      <c r="L13" s="91"/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1">
        <f t="shared" si="3"/>
        <v>0</v>
      </c>
      <c r="T13" s="91"/>
      <c r="U13" s="92">
        <f t="shared" si="1"/>
        <v>641.41</v>
      </c>
      <c r="V13" s="88"/>
      <c r="W13" s="93">
        <f t="shared" si="2"/>
        <v>408.59000000000003</v>
      </c>
    </row>
    <row r="14" spans="1:23" ht="15.5" customHeight="1" x14ac:dyDescent="0.2">
      <c r="A14" s="85" t="s">
        <v>27</v>
      </c>
      <c r="B14" s="86">
        <v>6</v>
      </c>
      <c r="C14" s="87">
        <v>2050</v>
      </c>
      <c r="D14" s="88"/>
      <c r="E14" s="90">
        <v>250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1">
        <f t="shared" si="0"/>
        <v>250</v>
      </c>
      <c r="L14" s="91"/>
      <c r="M14" s="90">
        <f>286.96+3.58+250</f>
        <v>540.54</v>
      </c>
      <c r="N14" s="90">
        <f>1200+160+200</f>
        <v>1560</v>
      </c>
      <c r="O14" s="90">
        <v>160</v>
      </c>
      <c r="P14" s="90">
        <v>0</v>
      </c>
      <c r="Q14" s="90">
        <v>210</v>
      </c>
      <c r="R14" s="90">
        <v>0</v>
      </c>
      <c r="S14" s="91">
        <f t="shared" si="3"/>
        <v>2470.54</v>
      </c>
      <c r="T14" s="91"/>
      <c r="U14" s="92">
        <f t="shared" si="1"/>
        <v>2720.54</v>
      </c>
      <c r="V14" s="88"/>
      <c r="W14" s="93">
        <f t="shared" si="2"/>
        <v>-670.54</v>
      </c>
    </row>
    <row r="15" spans="1:23" ht="15.5" customHeight="1" x14ac:dyDescent="0.2">
      <c r="A15" s="85" t="s">
        <v>81</v>
      </c>
      <c r="B15" s="86">
        <v>7</v>
      </c>
      <c r="C15" s="87">
        <v>50</v>
      </c>
      <c r="D15" s="88"/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1">
        <f t="shared" si="0"/>
        <v>0</v>
      </c>
      <c r="L15" s="91"/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1">
        <f t="shared" si="3"/>
        <v>0</v>
      </c>
      <c r="T15" s="91"/>
      <c r="U15" s="92">
        <f t="shared" si="1"/>
        <v>0</v>
      </c>
      <c r="V15" s="88"/>
      <c r="W15" s="93">
        <f t="shared" si="2"/>
        <v>50</v>
      </c>
    </row>
    <row r="16" spans="1:23" ht="15.5" customHeight="1" x14ac:dyDescent="0.2">
      <c r="A16" s="85" t="s">
        <v>28</v>
      </c>
      <c r="B16" s="86">
        <v>8</v>
      </c>
      <c r="C16" s="87">
        <v>1100</v>
      </c>
      <c r="D16" s="88"/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1">
        <f t="shared" si="0"/>
        <v>0</v>
      </c>
      <c r="L16" s="91"/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1">
        <f t="shared" si="3"/>
        <v>0</v>
      </c>
      <c r="T16" s="91"/>
      <c r="U16" s="92">
        <f t="shared" si="1"/>
        <v>0</v>
      </c>
      <c r="V16" s="88"/>
      <c r="W16" s="93">
        <f t="shared" si="2"/>
        <v>1100</v>
      </c>
    </row>
    <row r="17" spans="1:23" ht="15.5" customHeight="1" x14ac:dyDescent="0.2">
      <c r="A17" s="85" t="s">
        <v>82</v>
      </c>
      <c r="B17" s="86">
        <v>9</v>
      </c>
      <c r="C17" s="95">
        <v>1000</v>
      </c>
      <c r="D17" s="88"/>
      <c r="E17" s="89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1">
        <f t="shared" si="0"/>
        <v>0</v>
      </c>
      <c r="L17" s="91"/>
      <c r="M17" s="90">
        <f>(480+240)*1.2</f>
        <v>864</v>
      </c>
      <c r="N17" s="90">
        <v>0</v>
      </c>
      <c r="O17" s="90">
        <f>(340+140+48)*1.2</f>
        <v>633.6</v>
      </c>
      <c r="P17" s="90">
        <v>0</v>
      </c>
      <c r="Q17" s="90">
        <v>0</v>
      </c>
      <c r="R17" s="90">
        <v>0</v>
      </c>
      <c r="S17" s="91">
        <f t="shared" si="3"/>
        <v>1497.6</v>
      </c>
      <c r="T17" s="91"/>
      <c r="U17" s="92">
        <f t="shared" si="1"/>
        <v>1497.6</v>
      </c>
      <c r="V17" s="88"/>
      <c r="W17" s="93">
        <f t="shared" si="2"/>
        <v>-497.59999999999991</v>
      </c>
    </row>
    <row r="18" spans="1:23" ht="15.5" customHeight="1" x14ac:dyDescent="0.2">
      <c r="A18" s="85" t="s">
        <v>29</v>
      </c>
      <c r="B18" s="86">
        <v>10</v>
      </c>
      <c r="C18" s="87">
        <v>1000</v>
      </c>
      <c r="D18" s="88"/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1">
        <f t="shared" si="0"/>
        <v>0</v>
      </c>
      <c r="L18" s="91"/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1">
        <f t="shared" si="3"/>
        <v>0</v>
      </c>
      <c r="T18" s="91"/>
      <c r="U18" s="92">
        <f t="shared" si="1"/>
        <v>0</v>
      </c>
      <c r="V18" s="88"/>
      <c r="W18" s="93">
        <f t="shared" si="2"/>
        <v>1000</v>
      </c>
    </row>
    <row r="19" spans="1:23" ht="15.5" customHeight="1" x14ac:dyDescent="0.2">
      <c r="A19" s="85" t="s">
        <v>30</v>
      </c>
      <c r="B19" s="86">
        <v>11</v>
      </c>
      <c r="C19" s="95">
        <v>750</v>
      </c>
      <c r="D19" s="88"/>
      <c r="E19" s="90">
        <v>98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1">
        <f t="shared" si="0"/>
        <v>98</v>
      </c>
      <c r="L19" s="91"/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1">
        <f t="shared" si="3"/>
        <v>0</v>
      </c>
      <c r="T19" s="91"/>
      <c r="U19" s="92">
        <f t="shared" si="1"/>
        <v>98</v>
      </c>
      <c r="V19" s="88"/>
      <c r="W19" s="93">
        <f t="shared" si="2"/>
        <v>652</v>
      </c>
    </row>
    <row r="20" spans="1:23" ht="15.5" customHeight="1" x14ac:dyDescent="0.2">
      <c r="A20" s="85" t="s">
        <v>31</v>
      </c>
      <c r="B20" s="86">
        <v>12</v>
      </c>
      <c r="C20" s="95">
        <v>500</v>
      </c>
      <c r="D20" s="88"/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1">
        <f t="shared" si="0"/>
        <v>0</v>
      </c>
      <c r="L20" s="91"/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1">
        <f t="shared" si="3"/>
        <v>0</v>
      </c>
      <c r="T20" s="91"/>
      <c r="U20" s="92">
        <f t="shared" si="1"/>
        <v>0</v>
      </c>
      <c r="V20" s="96"/>
      <c r="W20" s="93">
        <f t="shared" si="2"/>
        <v>500</v>
      </c>
    </row>
    <row r="21" spans="1:23" ht="15.5" customHeight="1" x14ac:dyDescent="0.2">
      <c r="A21" s="85" t="s">
        <v>32</v>
      </c>
      <c r="B21" s="86">
        <v>13</v>
      </c>
      <c r="C21" s="95">
        <v>6500</v>
      </c>
      <c r="D21" s="88"/>
      <c r="E21" s="90">
        <v>151</v>
      </c>
      <c r="F21" s="90">
        <v>1139</v>
      </c>
      <c r="G21" s="90">
        <v>2322</v>
      </c>
      <c r="H21" s="90">
        <v>488</v>
      </c>
      <c r="I21" s="90">
        <v>1633</v>
      </c>
      <c r="J21" s="90">
        <v>0</v>
      </c>
      <c r="K21" s="94">
        <v>5733</v>
      </c>
      <c r="L21" s="91"/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1">
        <f t="shared" si="3"/>
        <v>0</v>
      </c>
      <c r="T21" s="91"/>
      <c r="U21" s="92">
        <f t="shared" si="1"/>
        <v>5733</v>
      </c>
      <c r="V21" s="96"/>
      <c r="W21" s="93">
        <f t="shared" si="2"/>
        <v>767</v>
      </c>
    </row>
    <row r="22" spans="1:23" ht="15.5" customHeight="1" x14ac:dyDescent="0.2">
      <c r="A22" s="85" t="s">
        <v>83</v>
      </c>
      <c r="B22" s="86">
        <v>14</v>
      </c>
      <c r="C22" s="87">
        <v>100</v>
      </c>
      <c r="D22" s="88"/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1">
        <f t="shared" ref="K22:K31" si="4">SUM(E22:J22)</f>
        <v>0</v>
      </c>
      <c r="L22" s="91"/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1">
        <f t="shared" si="3"/>
        <v>0</v>
      </c>
      <c r="T22" s="91"/>
      <c r="U22" s="92">
        <f t="shared" si="1"/>
        <v>0</v>
      </c>
      <c r="V22" s="96"/>
      <c r="W22" s="93">
        <f t="shared" si="2"/>
        <v>100</v>
      </c>
    </row>
    <row r="23" spans="1:23" ht="15.5" customHeight="1" x14ac:dyDescent="0.2">
      <c r="A23" s="85" t="s">
        <v>84</v>
      </c>
      <c r="B23" s="86">
        <v>15</v>
      </c>
      <c r="C23" s="95">
        <v>60</v>
      </c>
      <c r="D23" s="88"/>
      <c r="E23" s="90">
        <v>45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1">
        <f t="shared" si="4"/>
        <v>45</v>
      </c>
      <c r="L23" s="91"/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1">
        <f t="shared" si="3"/>
        <v>0</v>
      </c>
      <c r="T23" s="91"/>
      <c r="U23" s="92">
        <f t="shared" si="1"/>
        <v>45</v>
      </c>
      <c r="V23" s="96"/>
      <c r="W23" s="93">
        <f t="shared" si="2"/>
        <v>15</v>
      </c>
    </row>
    <row r="24" spans="1:23" ht="15.5" customHeight="1" x14ac:dyDescent="0.2">
      <c r="A24" s="85" t="s">
        <v>85</v>
      </c>
      <c r="B24" s="86">
        <v>16</v>
      </c>
      <c r="C24" s="95">
        <v>100</v>
      </c>
      <c r="D24" s="88"/>
      <c r="E24" s="90">
        <v>132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1">
        <f t="shared" si="4"/>
        <v>132</v>
      </c>
      <c r="L24" s="91"/>
      <c r="M24" s="90">
        <v>100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1">
        <f t="shared" si="3"/>
        <v>100</v>
      </c>
      <c r="T24" s="91"/>
      <c r="U24" s="92">
        <f t="shared" si="1"/>
        <v>232</v>
      </c>
      <c r="V24" s="96"/>
      <c r="W24" s="93">
        <f t="shared" si="2"/>
        <v>-132</v>
      </c>
    </row>
    <row r="25" spans="1:23" ht="15.5" customHeight="1" x14ac:dyDescent="0.2">
      <c r="A25" s="85" t="s">
        <v>33</v>
      </c>
      <c r="B25" s="86">
        <v>17</v>
      </c>
      <c r="C25" s="87">
        <v>1000</v>
      </c>
      <c r="D25" s="88"/>
      <c r="E25" s="90">
        <v>1500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1">
        <f t="shared" si="4"/>
        <v>1500</v>
      </c>
      <c r="L25" s="91"/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1">
        <f t="shared" si="3"/>
        <v>0</v>
      </c>
      <c r="T25" s="91"/>
      <c r="U25" s="92">
        <f t="shared" si="1"/>
        <v>1500</v>
      </c>
      <c r="V25" s="96"/>
      <c r="W25" s="93">
        <f t="shared" si="2"/>
        <v>-500</v>
      </c>
    </row>
    <row r="26" spans="1:23" ht="15.5" customHeight="1" x14ac:dyDescent="0.2">
      <c r="A26" s="85" t="s">
        <v>34</v>
      </c>
      <c r="B26" s="86">
        <v>18</v>
      </c>
      <c r="C26" s="95">
        <v>250</v>
      </c>
      <c r="D26" s="88"/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1">
        <f t="shared" si="4"/>
        <v>0</v>
      </c>
      <c r="L26" s="91"/>
      <c r="M26" s="90">
        <v>170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1">
        <f t="shared" si="3"/>
        <v>170</v>
      </c>
      <c r="T26" s="91"/>
      <c r="U26" s="92">
        <f t="shared" si="1"/>
        <v>170</v>
      </c>
      <c r="V26" s="96"/>
      <c r="W26" s="93">
        <f t="shared" si="2"/>
        <v>80</v>
      </c>
    </row>
    <row r="27" spans="1:23" ht="15.5" customHeight="1" x14ac:dyDescent="0.2">
      <c r="A27" s="85" t="s">
        <v>86</v>
      </c>
      <c r="B27" s="86">
        <v>19</v>
      </c>
      <c r="C27" s="95">
        <v>100</v>
      </c>
      <c r="D27" s="88"/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1">
        <f t="shared" si="4"/>
        <v>0</v>
      </c>
      <c r="L27" s="91"/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1">
        <f t="shared" si="3"/>
        <v>0</v>
      </c>
      <c r="T27" s="91"/>
      <c r="U27" s="92">
        <f t="shared" si="1"/>
        <v>0</v>
      </c>
      <c r="V27" s="96"/>
      <c r="W27" s="93">
        <f t="shared" si="2"/>
        <v>100</v>
      </c>
    </row>
    <row r="28" spans="1:23" ht="15.5" customHeight="1" x14ac:dyDescent="0.2">
      <c r="A28" s="85" t="s">
        <v>87</v>
      </c>
      <c r="B28" s="86">
        <v>20</v>
      </c>
      <c r="C28" s="87">
        <v>240</v>
      </c>
      <c r="D28" s="88"/>
      <c r="E28" s="90">
        <v>0</v>
      </c>
      <c r="F28" s="90">
        <v>0</v>
      </c>
      <c r="G28" s="90">
        <v>150</v>
      </c>
      <c r="H28" s="90">
        <v>0</v>
      </c>
      <c r="I28" s="90">
        <v>0</v>
      </c>
      <c r="J28" s="90">
        <v>0</v>
      </c>
      <c r="K28" s="91">
        <f t="shared" si="4"/>
        <v>150</v>
      </c>
      <c r="L28" s="91"/>
      <c r="M28" s="90">
        <v>0</v>
      </c>
      <c r="N28" s="90">
        <v>0</v>
      </c>
      <c r="O28" s="90">
        <v>150</v>
      </c>
      <c r="P28" s="90">
        <v>0</v>
      </c>
      <c r="Q28" s="90">
        <v>0</v>
      </c>
      <c r="R28" s="90">
        <v>0</v>
      </c>
      <c r="S28" s="91">
        <f t="shared" si="3"/>
        <v>150</v>
      </c>
      <c r="T28" s="91"/>
      <c r="U28" s="92">
        <f t="shared" si="1"/>
        <v>300</v>
      </c>
      <c r="V28" s="96"/>
      <c r="W28" s="93">
        <f t="shared" si="2"/>
        <v>-60</v>
      </c>
    </row>
    <row r="29" spans="1:23" ht="15.5" customHeight="1" x14ac:dyDescent="0.2">
      <c r="A29" s="85" t="s">
        <v>88</v>
      </c>
      <c r="B29" s="86">
        <v>21</v>
      </c>
      <c r="C29" s="87">
        <v>500</v>
      </c>
      <c r="D29" s="88"/>
      <c r="E29" s="90">
        <v>0</v>
      </c>
      <c r="F29" s="90">
        <v>0</v>
      </c>
      <c r="G29" s="90">
        <v>120</v>
      </c>
      <c r="H29" s="90">
        <v>60</v>
      </c>
      <c r="I29" s="90">
        <v>0</v>
      </c>
      <c r="J29" s="90">
        <v>0</v>
      </c>
      <c r="K29" s="91">
        <f t="shared" si="4"/>
        <v>180</v>
      </c>
      <c r="L29" s="91"/>
      <c r="M29" s="90">
        <v>0</v>
      </c>
      <c r="N29" s="90">
        <v>0</v>
      </c>
      <c r="O29" s="90">
        <v>200</v>
      </c>
      <c r="P29" s="90">
        <v>60</v>
      </c>
      <c r="Q29" s="90">
        <v>0</v>
      </c>
      <c r="R29" s="90">
        <v>0</v>
      </c>
      <c r="S29" s="91">
        <f t="shared" si="3"/>
        <v>260</v>
      </c>
      <c r="T29" s="91"/>
      <c r="U29" s="92">
        <f t="shared" si="1"/>
        <v>440</v>
      </c>
      <c r="V29" s="96"/>
      <c r="W29" s="93">
        <f t="shared" si="2"/>
        <v>60</v>
      </c>
    </row>
    <row r="30" spans="1:23" ht="15.5" customHeight="1" x14ac:dyDescent="0.2">
      <c r="A30" s="85" t="s">
        <v>89</v>
      </c>
      <c r="B30" s="86">
        <v>22</v>
      </c>
      <c r="C30" s="87">
        <v>0</v>
      </c>
      <c r="D30" s="88"/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1">
        <f t="shared" si="4"/>
        <v>0</v>
      </c>
      <c r="L30" s="91"/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1">
        <f t="shared" si="3"/>
        <v>0</v>
      </c>
      <c r="T30" s="91"/>
      <c r="U30" s="92">
        <f t="shared" si="1"/>
        <v>0</v>
      </c>
      <c r="V30" s="96"/>
      <c r="W30" s="93">
        <f t="shared" si="2"/>
        <v>0</v>
      </c>
    </row>
    <row r="31" spans="1:23" ht="16" customHeight="1" x14ac:dyDescent="0.2">
      <c r="A31" s="85" t="s">
        <v>90</v>
      </c>
      <c r="B31" s="86">
        <v>23</v>
      </c>
      <c r="C31" s="97">
        <v>50</v>
      </c>
      <c r="D31" s="88"/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9">
        <f t="shared" si="4"/>
        <v>0</v>
      </c>
      <c r="L31" s="91"/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9">
        <f t="shared" si="3"/>
        <v>0</v>
      </c>
      <c r="T31" s="91"/>
      <c r="U31" s="100">
        <f t="shared" si="1"/>
        <v>0</v>
      </c>
      <c r="V31" s="96"/>
      <c r="W31" s="101">
        <f t="shared" si="2"/>
        <v>50</v>
      </c>
    </row>
    <row r="32" spans="1:23" ht="16" customHeight="1" x14ac:dyDescent="0.2">
      <c r="A32" s="102"/>
      <c r="B32" s="86">
        <v>24</v>
      </c>
      <c r="C32" s="103">
        <f>SUM(C9:C31)</f>
        <v>39008</v>
      </c>
      <c r="D32" s="88"/>
      <c r="E32" s="104">
        <f t="shared" ref="E32:K32" si="5">SUM(E9:E31)</f>
        <v>12321.869999999999</v>
      </c>
      <c r="F32" s="104">
        <f t="shared" si="5"/>
        <v>1472</v>
      </c>
      <c r="G32" s="104">
        <f t="shared" si="5"/>
        <v>3024</v>
      </c>
      <c r="H32" s="104">
        <f t="shared" si="5"/>
        <v>719</v>
      </c>
      <c r="I32" s="104">
        <f t="shared" si="5"/>
        <v>1633</v>
      </c>
      <c r="J32" s="104">
        <f t="shared" si="5"/>
        <v>167</v>
      </c>
      <c r="K32" s="105">
        <f t="shared" si="5"/>
        <v>19336.87</v>
      </c>
      <c r="L32" s="106"/>
      <c r="M32" s="107">
        <f t="shared" ref="M32:S32" si="6">SUM(M9:M31)</f>
        <v>9622.59</v>
      </c>
      <c r="N32" s="107">
        <f t="shared" si="6"/>
        <v>1848.6</v>
      </c>
      <c r="O32" s="107">
        <f t="shared" si="6"/>
        <v>1518</v>
      </c>
      <c r="P32" s="107">
        <f t="shared" si="6"/>
        <v>208.2</v>
      </c>
      <c r="Q32" s="107">
        <f t="shared" si="6"/>
        <v>210</v>
      </c>
      <c r="R32" s="107">
        <f t="shared" si="6"/>
        <v>144.75</v>
      </c>
      <c r="S32" s="105">
        <f t="shared" si="6"/>
        <v>13552.140000000001</v>
      </c>
      <c r="T32" s="106"/>
      <c r="U32" s="103">
        <f>SUM(U9:U31)</f>
        <v>32889.009999999995</v>
      </c>
      <c r="V32" s="108"/>
      <c r="W32" s="109">
        <f>SUM(W9:W31)</f>
        <v>6118.9900000000016</v>
      </c>
    </row>
    <row r="33" spans="1:23" ht="15.5" customHeight="1" x14ac:dyDescent="0.2">
      <c r="A33" s="102"/>
      <c r="B33" s="110"/>
      <c r="C33" s="93"/>
      <c r="D33" s="88"/>
      <c r="E33" s="111"/>
      <c r="F33" s="75"/>
      <c r="G33" s="75"/>
      <c r="H33" s="75"/>
      <c r="I33" s="75"/>
      <c r="J33" s="75"/>
      <c r="K33" s="91"/>
      <c r="L33" s="91"/>
      <c r="M33" s="112"/>
      <c r="N33" s="113"/>
      <c r="O33" s="113"/>
      <c r="P33" s="113"/>
      <c r="Q33" s="113"/>
      <c r="R33" s="113"/>
      <c r="S33" s="114"/>
      <c r="T33" s="91"/>
      <c r="U33" s="96"/>
      <c r="V33" s="96"/>
      <c r="W33" s="93"/>
    </row>
    <row r="34" spans="1:23" ht="15.5" customHeight="1" x14ac:dyDescent="0.2">
      <c r="A34" s="37" t="s">
        <v>36</v>
      </c>
      <c r="B34" s="110"/>
      <c r="C34" s="93"/>
      <c r="D34" s="88"/>
      <c r="E34" s="111"/>
      <c r="F34" s="75"/>
      <c r="G34" s="75"/>
      <c r="H34" s="75"/>
      <c r="I34" s="75"/>
      <c r="J34" s="75"/>
      <c r="K34" s="91"/>
      <c r="L34" s="91"/>
      <c r="M34" s="112"/>
      <c r="N34" s="113"/>
      <c r="O34" s="113"/>
      <c r="P34" s="113"/>
      <c r="Q34" s="113"/>
      <c r="R34" s="113"/>
      <c r="S34" s="114"/>
      <c r="T34" s="91"/>
      <c r="U34" s="96"/>
      <c r="V34" s="96"/>
      <c r="W34" s="93"/>
    </row>
    <row r="35" spans="1:23" ht="15.5" customHeight="1" x14ac:dyDescent="0.2">
      <c r="A35" s="85" t="s">
        <v>37</v>
      </c>
      <c r="B35" s="86">
        <v>25</v>
      </c>
      <c r="C35" s="95">
        <v>3500</v>
      </c>
      <c r="D35" s="88"/>
      <c r="E35" s="90">
        <v>3540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1">
        <f>SUM(E35:J35)</f>
        <v>3540</v>
      </c>
      <c r="L35" s="91"/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91">
        <f>SUM(M35:R35)</f>
        <v>0</v>
      </c>
      <c r="T35" s="91"/>
      <c r="U35" s="92">
        <f>SUM(K35+S35)</f>
        <v>3540</v>
      </c>
      <c r="V35" s="88"/>
      <c r="W35" s="93">
        <f>SUM(C35-U35)</f>
        <v>-40</v>
      </c>
    </row>
    <row r="36" spans="1:23" ht="15.5" customHeight="1" x14ac:dyDescent="0.2">
      <c r="A36" s="85" t="s">
        <v>38</v>
      </c>
      <c r="B36" s="86">
        <v>26</v>
      </c>
      <c r="C36" s="95">
        <v>500</v>
      </c>
      <c r="D36" s="88"/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1">
        <f>SUM(E36:J36)</f>
        <v>0</v>
      </c>
      <c r="L36" s="91"/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91">
        <f>SUM(M36:R36)</f>
        <v>0</v>
      </c>
      <c r="T36" s="91"/>
      <c r="U36" s="92">
        <f>SUM(K36+S36)</f>
        <v>0</v>
      </c>
      <c r="V36" s="96"/>
      <c r="W36" s="93">
        <f>SUM(C36-U36)</f>
        <v>500</v>
      </c>
    </row>
    <row r="37" spans="1:23" ht="15.5" customHeight="1" x14ac:dyDescent="0.2">
      <c r="A37" s="85" t="s">
        <v>39</v>
      </c>
      <c r="B37" s="86">
        <v>27</v>
      </c>
      <c r="C37" s="95">
        <v>500</v>
      </c>
      <c r="D37" s="88"/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1">
        <f>SUM(E37:J37)</f>
        <v>0</v>
      </c>
      <c r="L37" s="91"/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91">
        <f>SUM(M37:R37)</f>
        <v>0</v>
      </c>
      <c r="T37" s="91"/>
      <c r="U37" s="92">
        <f>SUM(K37+S37)</f>
        <v>0</v>
      </c>
      <c r="V37" s="96"/>
      <c r="W37" s="93">
        <f>SUM(C37-U37)</f>
        <v>500</v>
      </c>
    </row>
    <row r="38" spans="1:23" ht="15.5" customHeight="1" x14ac:dyDescent="0.2">
      <c r="A38" s="85" t="s">
        <v>91</v>
      </c>
      <c r="B38" s="86">
        <v>28</v>
      </c>
      <c r="C38" s="95">
        <v>14</v>
      </c>
      <c r="D38" s="88"/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1">
        <f>SUM(E38:J38)</f>
        <v>0</v>
      </c>
      <c r="L38" s="91"/>
      <c r="M38" s="115">
        <v>14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91">
        <f>SUM(M38:R38)</f>
        <v>14</v>
      </c>
      <c r="T38" s="91"/>
      <c r="U38" s="92">
        <f>SUM(K38+S38)</f>
        <v>14</v>
      </c>
      <c r="V38" s="88"/>
      <c r="W38" s="93">
        <f>SUM(C38-U38)</f>
        <v>0</v>
      </c>
    </row>
    <row r="39" spans="1:23" ht="16" customHeight="1" x14ac:dyDescent="0.2">
      <c r="A39" s="85" t="s">
        <v>92</v>
      </c>
      <c r="B39" s="86">
        <v>29</v>
      </c>
      <c r="C39" s="116">
        <v>100</v>
      </c>
      <c r="D39" s="88"/>
      <c r="E39" s="98">
        <v>37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9">
        <f>SUM(E39:J39)</f>
        <v>37</v>
      </c>
      <c r="L39" s="91"/>
      <c r="M39" s="117">
        <v>50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99">
        <f>SUM(M39:R39)</f>
        <v>50</v>
      </c>
      <c r="T39" s="91"/>
      <c r="U39" s="100">
        <f>SUM(K39+S39)</f>
        <v>87</v>
      </c>
      <c r="V39" s="88"/>
      <c r="W39" s="101">
        <f>SUM(C39-U39)</f>
        <v>13</v>
      </c>
    </row>
    <row r="40" spans="1:23" ht="16" customHeight="1" x14ac:dyDescent="0.2">
      <c r="A40" s="102"/>
      <c r="B40" s="86">
        <v>30</v>
      </c>
      <c r="C40" s="103">
        <f>SUM(C35:C39)</f>
        <v>4614</v>
      </c>
      <c r="D40" s="88"/>
      <c r="E40" s="118">
        <f t="shared" ref="E40:K40" si="7">SUM(E35:E39)</f>
        <v>3577</v>
      </c>
      <c r="F40" s="118">
        <f t="shared" si="7"/>
        <v>0</v>
      </c>
      <c r="G40" s="118">
        <f t="shared" si="7"/>
        <v>0</v>
      </c>
      <c r="H40" s="118">
        <f t="shared" si="7"/>
        <v>0</v>
      </c>
      <c r="I40" s="118">
        <f t="shared" si="7"/>
        <v>0</v>
      </c>
      <c r="J40" s="118">
        <f t="shared" si="7"/>
        <v>0</v>
      </c>
      <c r="K40" s="105">
        <f t="shared" si="7"/>
        <v>3577</v>
      </c>
      <c r="L40" s="106"/>
      <c r="M40" s="107">
        <f t="shared" ref="M40:S40" si="8">SUM(M35:M39)</f>
        <v>64</v>
      </c>
      <c r="N40" s="107">
        <f t="shared" si="8"/>
        <v>0</v>
      </c>
      <c r="O40" s="107">
        <f t="shared" si="8"/>
        <v>0</v>
      </c>
      <c r="P40" s="107">
        <f t="shared" si="8"/>
        <v>0</v>
      </c>
      <c r="Q40" s="107">
        <f t="shared" si="8"/>
        <v>0</v>
      </c>
      <c r="R40" s="107">
        <f t="shared" si="8"/>
        <v>0</v>
      </c>
      <c r="S40" s="105">
        <f t="shared" si="8"/>
        <v>64</v>
      </c>
      <c r="T40" s="106"/>
      <c r="U40" s="103">
        <f>SUM(U35:U39)</f>
        <v>3641</v>
      </c>
      <c r="V40" s="93"/>
      <c r="W40" s="109">
        <f>SUM(W35:W39)</f>
        <v>973</v>
      </c>
    </row>
    <row r="41" spans="1:23" ht="16" customHeight="1" x14ac:dyDescent="0.2">
      <c r="A41" s="38"/>
      <c r="B41" s="110"/>
      <c r="C41" s="101"/>
      <c r="D41" s="88"/>
      <c r="E41" s="119"/>
      <c r="F41" s="119"/>
      <c r="G41" s="119"/>
      <c r="H41" s="119"/>
      <c r="I41" s="119"/>
      <c r="J41" s="119"/>
      <c r="K41" s="99"/>
      <c r="L41" s="91"/>
      <c r="M41" s="119"/>
      <c r="N41" s="119"/>
      <c r="O41" s="119"/>
      <c r="P41" s="119"/>
      <c r="Q41" s="119"/>
      <c r="R41" s="119"/>
      <c r="S41" s="99"/>
      <c r="T41" s="91"/>
      <c r="U41" s="120"/>
      <c r="V41" s="88"/>
      <c r="W41" s="101"/>
    </row>
    <row r="42" spans="1:23" ht="16.5" customHeight="1" x14ac:dyDescent="0.2">
      <c r="A42" s="37" t="s">
        <v>40</v>
      </c>
      <c r="B42" s="86">
        <v>31</v>
      </c>
      <c r="C42" s="121">
        <f>SUM(C32+C40)</f>
        <v>43622</v>
      </c>
      <c r="D42" s="88"/>
      <c r="E42" s="122">
        <f t="shared" ref="E42:K42" si="9">SUM(E32+E40)</f>
        <v>15898.869999999999</v>
      </c>
      <c r="F42" s="122">
        <f t="shared" si="9"/>
        <v>1472</v>
      </c>
      <c r="G42" s="122">
        <f t="shared" si="9"/>
        <v>3024</v>
      </c>
      <c r="H42" s="122">
        <f t="shared" si="9"/>
        <v>719</v>
      </c>
      <c r="I42" s="122">
        <f t="shared" si="9"/>
        <v>1633</v>
      </c>
      <c r="J42" s="122">
        <f t="shared" si="9"/>
        <v>167</v>
      </c>
      <c r="K42" s="123">
        <f t="shared" si="9"/>
        <v>22913.87</v>
      </c>
      <c r="L42" s="106"/>
      <c r="M42" s="122">
        <f t="shared" ref="M42:S42" si="10">SUM(M32+M40)</f>
        <v>9686.59</v>
      </c>
      <c r="N42" s="122">
        <f t="shared" si="10"/>
        <v>1848.6</v>
      </c>
      <c r="O42" s="122">
        <f t="shared" si="10"/>
        <v>1518</v>
      </c>
      <c r="P42" s="122">
        <f t="shared" si="10"/>
        <v>208.2</v>
      </c>
      <c r="Q42" s="122">
        <f t="shared" si="10"/>
        <v>210</v>
      </c>
      <c r="R42" s="122">
        <f t="shared" si="10"/>
        <v>144.75</v>
      </c>
      <c r="S42" s="123">
        <f t="shared" si="10"/>
        <v>13616.140000000001</v>
      </c>
      <c r="T42" s="106"/>
      <c r="U42" s="121">
        <f>SUM(U32+U40)</f>
        <v>36530.009999999995</v>
      </c>
      <c r="V42" s="93"/>
      <c r="W42" s="124">
        <f>SUM(W32+W40)</f>
        <v>7091.9900000000016</v>
      </c>
    </row>
    <row r="43" spans="1:23" ht="16" customHeight="1" x14ac:dyDescent="0.2">
      <c r="A43" s="102"/>
      <c r="B43" s="110"/>
      <c r="C43" s="109"/>
      <c r="D43" s="88"/>
      <c r="E43" s="125"/>
      <c r="F43" s="125"/>
      <c r="G43" s="125"/>
      <c r="H43" s="125"/>
      <c r="I43" s="125"/>
      <c r="J43" s="125"/>
      <c r="K43" s="126"/>
      <c r="L43" s="91"/>
      <c r="M43" s="125"/>
      <c r="N43" s="125"/>
      <c r="O43" s="125"/>
      <c r="P43" s="125"/>
      <c r="Q43" s="125"/>
      <c r="R43" s="125"/>
      <c r="S43" s="126"/>
      <c r="T43" s="91"/>
      <c r="U43" s="127"/>
      <c r="V43" s="88"/>
      <c r="W43" s="109"/>
    </row>
    <row r="44" spans="1:23" ht="15.5" customHeight="1" x14ac:dyDescent="0.2">
      <c r="A44" s="37" t="s">
        <v>41</v>
      </c>
      <c r="B44" s="110"/>
      <c r="C44" s="93"/>
      <c r="D44" s="88"/>
      <c r="E44" s="75"/>
      <c r="F44" s="75"/>
      <c r="G44" s="75"/>
      <c r="H44" s="75"/>
      <c r="I44" s="75"/>
      <c r="J44" s="75"/>
      <c r="K44" s="91"/>
      <c r="L44" s="91"/>
      <c r="M44" s="75"/>
      <c r="N44" s="75"/>
      <c r="O44" s="75"/>
      <c r="P44" s="75"/>
      <c r="Q44" s="75"/>
      <c r="R44" s="75"/>
      <c r="S44" s="91"/>
      <c r="T44" s="91"/>
      <c r="U44" s="88"/>
      <c r="V44" s="88"/>
      <c r="W44" s="93"/>
    </row>
    <row r="45" spans="1:23" ht="15.5" customHeight="1" x14ac:dyDescent="0.2">
      <c r="A45" s="85" t="s">
        <v>93</v>
      </c>
      <c r="B45" s="86">
        <v>32</v>
      </c>
      <c r="C45" s="95">
        <v>2010</v>
      </c>
      <c r="D45" s="88"/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1">
        <v>0</v>
      </c>
      <c r="L45" s="91"/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1">
        <v>0</v>
      </c>
      <c r="T45" s="91"/>
      <c r="U45" s="92">
        <v>0</v>
      </c>
      <c r="V45" s="88"/>
      <c r="W45" s="93">
        <f>SUM(C45-U45)</f>
        <v>2010</v>
      </c>
    </row>
    <row r="46" spans="1:23" ht="16" customHeight="1" x14ac:dyDescent="0.2">
      <c r="A46" s="85" t="s">
        <v>94</v>
      </c>
      <c r="B46" s="86">
        <v>33</v>
      </c>
      <c r="C46" s="116">
        <v>10460</v>
      </c>
      <c r="D46" s="88"/>
      <c r="E46" s="128">
        <v>0</v>
      </c>
      <c r="F46" s="98">
        <v>0</v>
      </c>
      <c r="G46" s="98">
        <v>0</v>
      </c>
      <c r="H46" s="128">
        <v>0</v>
      </c>
      <c r="I46" s="98">
        <v>0</v>
      </c>
      <c r="J46" s="98">
        <v>0</v>
      </c>
      <c r="K46" s="99">
        <v>0</v>
      </c>
      <c r="L46" s="91"/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9">
        <v>0</v>
      </c>
      <c r="T46" s="91"/>
      <c r="U46" s="100">
        <v>0</v>
      </c>
      <c r="V46" s="88"/>
      <c r="W46" s="101">
        <f>SUM(C46-U46)</f>
        <v>10460</v>
      </c>
    </row>
    <row r="47" spans="1:23" ht="16" customHeight="1" x14ac:dyDescent="0.2">
      <c r="A47" s="102"/>
      <c r="B47" s="86">
        <v>34</v>
      </c>
      <c r="C47" s="103">
        <f>SUM(C45:C46)</f>
        <v>12470</v>
      </c>
      <c r="D47" s="88"/>
      <c r="E47" s="129">
        <f t="shared" ref="E47:K47" si="11">SUM(E45:E46)</f>
        <v>0</v>
      </c>
      <c r="F47" s="129">
        <f t="shared" si="11"/>
        <v>0</v>
      </c>
      <c r="G47" s="129">
        <f t="shared" si="11"/>
        <v>0</v>
      </c>
      <c r="H47" s="129">
        <f t="shared" si="11"/>
        <v>0</v>
      </c>
      <c r="I47" s="129">
        <f t="shared" si="11"/>
        <v>0</v>
      </c>
      <c r="J47" s="129">
        <f t="shared" si="11"/>
        <v>0</v>
      </c>
      <c r="K47" s="126">
        <f t="shared" si="11"/>
        <v>0</v>
      </c>
      <c r="L47" s="91"/>
      <c r="M47" s="129">
        <f t="shared" ref="M47:S47" si="12">SUM(M45:M46)</f>
        <v>0</v>
      </c>
      <c r="N47" s="129">
        <f t="shared" si="12"/>
        <v>0</v>
      </c>
      <c r="O47" s="129">
        <f t="shared" si="12"/>
        <v>0</v>
      </c>
      <c r="P47" s="129">
        <f t="shared" si="12"/>
        <v>0</v>
      </c>
      <c r="Q47" s="129">
        <f t="shared" si="12"/>
        <v>0</v>
      </c>
      <c r="R47" s="129">
        <f t="shared" si="12"/>
        <v>0</v>
      </c>
      <c r="S47" s="126">
        <f t="shared" si="12"/>
        <v>0</v>
      </c>
      <c r="T47" s="91"/>
      <c r="U47" s="130">
        <f>SUM(U45:U46)</f>
        <v>0</v>
      </c>
      <c r="V47" s="88"/>
      <c r="W47" s="109">
        <f>SUM(W45:W46)</f>
        <v>12470</v>
      </c>
    </row>
    <row r="48" spans="1:23" ht="17" customHeight="1" x14ac:dyDescent="0.2">
      <c r="A48" s="102"/>
      <c r="B48" s="110"/>
      <c r="C48" s="131"/>
      <c r="D48" s="88"/>
      <c r="E48" s="132"/>
      <c r="F48" s="132"/>
      <c r="G48" s="132"/>
      <c r="H48" s="132"/>
      <c r="I48" s="132"/>
      <c r="J48" s="132"/>
      <c r="K48" s="133"/>
      <c r="L48" s="91"/>
      <c r="M48" s="132"/>
      <c r="N48" s="132"/>
      <c r="O48" s="132"/>
      <c r="P48" s="132"/>
      <c r="Q48" s="132"/>
      <c r="R48" s="132"/>
      <c r="S48" s="133"/>
      <c r="T48" s="91"/>
      <c r="U48" s="134"/>
      <c r="V48" s="88"/>
      <c r="W48" s="131"/>
    </row>
    <row r="49" spans="1:23" ht="17.5" customHeight="1" x14ac:dyDescent="0.2">
      <c r="A49" s="37" t="s">
        <v>43</v>
      </c>
      <c r="B49" s="86">
        <v>35</v>
      </c>
      <c r="C49" s="135">
        <f>SUM(C42+C47)</f>
        <v>56092</v>
      </c>
      <c r="D49" s="88"/>
      <c r="E49" s="136">
        <f t="shared" ref="E49:K49" si="13">SUM(E42+E47)</f>
        <v>15898.869999999999</v>
      </c>
      <c r="F49" s="136">
        <f t="shared" si="13"/>
        <v>1472</v>
      </c>
      <c r="G49" s="136">
        <f t="shared" si="13"/>
        <v>3024</v>
      </c>
      <c r="H49" s="136">
        <f t="shared" si="13"/>
        <v>719</v>
      </c>
      <c r="I49" s="136">
        <f t="shared" si="13"/>
        <v>1633</v>
      </c>
      <c r="J49" s="136">
        <f t="shared" si="13"/>
        <v>167</v>
      </c>
      <c r="K49" s="137">
        <f t="shared" si="13"/>
        <v>22913.87</v>
      </c>
      <c r="L49" s="106"/>
      <c r="M49" s="136">
        <f t="shared" ref="M49:S49" si="14">SUM(M42+M47)</f>
        <v>9686.59</v>
      </c>
      <c r="N49" s="136">
        <f t="shared" si="14"/>
        <v>1848.6</v>
      </c>
      <c r="O49" s="136">
        <f t="shared" si="14"/>
        <v>1518</v>
      </c>
      <c r="P49" s="136">
        <f t="shared" si="14"/>
        <v>208.2</v>
      </c>
      <c r="Q49" s="136">
        <f t="shared" si="14"/>
        <v>210</v>
      </c>
      <c r="R49" s="136">
        <f t="shared" si="14"/>
        <v>144.75</v>
      </c>
      <c r="S49" s="137">
        <f t="shared" si="14"/>
        <v>13616.140000000001</v>
      </c>
      <c r="T49" s="106"/>
      <c r="U49" s="135">
        <f>SUM(U42+U47)</f>
        <v>36530.009999999995</v>
      </c>
      <c r="V49" s="93"/>
      <c r="W49" s="138">
        <f>SUM(W42+W47)</f>
        <v>19561.990000000002</v>
      </c>
    </row>
  </sheetData>
  <conditionalFormatting sqref="U2:U4 M3:R3 C4 W9:W39 W44:W46">
    <cfRule type="cellIs" dxfId="1" priority="1" stopIfTrue="1" operator="lessThan">
      <formula>0</formula>
    </cfRule>
  </conditionalFormatting>
  <pageMargins left="0.39" right="0.39" top="0.59" bottom="0.59" header="0.3" footer="0.3"/>
  <pageSetup scale="88" orientation="portrait"/>
  <headerFooter>
    <oddHeader>&amp;L&amp;"Arial,Regular"&amp;10&amp;K000000LAWTON HALL MANAGEMENT LIMITED - BUDGET &amp;"Arial,Bold"2017-2018</oddHeader>
    <oddFooter>&amp;L&amp;"Arial,Regular"&amp;10&amp;K000000Budget 2017-2018 DRAFT - Revision 0.4.xls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showRuler="0" workbookViewId="0">
      <selection activeCell="E33" sqref="E33"/>
    </sheetView>
  </sheetViews>
  <sheetFormatPr baseColWidth="10" defaultColWidth="10" defaultRowHeight="13" customHeight="1" x14ac:dyDescent="0.15"/>
  <cols>
    <col min="1" max="256" width="10" customWidth="1"/>
  </cols>
  <sheetData/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3"/>
  <sheetViews>
    <sheetView showGridLines="0" showRuler="0" topLeftCell="A4" workbookViewId="0">
      <selection activeCell="A4" sqref="A4"/>
    </sheetView>
  </sheetViews>
  <sheetFormatPr baseColWidth="10" defaultColWidth="8.83203125" defaultRowHeight="13" customHeight="1" x14ac:dyDescent="0.15"/>
  <cols>
    <col min="1" max="1" width="10.6640625" style="139" customWidth="1"/>
    <col min="2" max="2" width="39.33203125" style="139" customWidth="1"/>
    <col min="3" max="3" width="32.83203125" style="139" customWidth="1"/>
    <col min="4" max="4" width="8.83203125" style="139" hidden="1" customWidth="1"/>
    <col min="5" max="5" width="11.33203125" style="139" hidden="1" customWidth="1"/>
    <col min="6" max="7" width="8.83203125" style="139" hidden="1" customWidth="1"/>
    <col min="8" max="8" width="13.5" style="139" hidden="1" customWidth="1"/>
    <col min="9" max="9" width="8.83203125" style="139" hidden="1" customWidth="1"/>
    <col min="10" max="10" width="11.83203125" style="139" hidden="1" customWidth="1"/>
    <col min="11" max="11" width="8.83203125" style="139" hidden="1" customWidth="1"/>
    <col min="12" max="12" width="11.5" style="139" hidden="1" customWidth="1"/>
    <col min="13" max="13" width="11.83203125" style="139" hidden="1" customWidth="1"/>
    <col min="14" max="14" width="8.83203125" style="139" hidden="1" customWidth="1"/>
    <col min="15" max="15" width="11.6640625" style="139" hidden="1" customWidth="1"/>
    <col min="16" max="16" width="9.5" style="139" hidden="1" customWidth="1"/>
    <col min="17" max="17" width="13" style="139" hidden="1" customWidth="1"/>
    <col min="18" max="19" width="8.83203125" style="139" hidden="1" customWidth="1"/>
    <col min="20" max="21" width="12.5" style="139" hidden="1" customWidth="1"/>
    <col min="22" max="22" width="10.5" style="139" hidden="1" customWidth="1"/>
    <col min="23" max="23" width="14.6640625" style="139" customWidth="1"/>
    <col min="24" max="24" width="8.83203125" style="139" customWidth="1"/>
    <col min="25" max="26" width="11.6640625" style="139" customWidth="1"/>
    <col min="27" max="27" width="2" style="139" customWidth="1"/>
    <col min="28" max="28" width="8.83203125" style="139" customWidth="1"/>
    <col min="29" max="29" width="3.1640625" style="139" customWidth="1"/>
    <col min="30" max="31" width="8.83203125" style="139" customWidth="1"/>
    <col min="32" max="32" width="11.33203125" style="139" customWidth="1"/>
    <col min="33" max="33" width="11.5" style="139" hidden="1" customWidth="1"/>
    <col min="34" max="38" width="8.83203125" style="139" hidden="1" customWidth="1"/>
    <col min="39" max="256" width="8.83203125" style="139" customWidth="1"/>
  </cols>
  <sheetData>
    <row r="1" spans="1:39" ht="14.5" customHeight="1" x14ac:dyDescent="0.15">
      <c r="A1" s="187" t="s">
        <v>95</v>
      </c>
      <c r="B1" s="187"/>
      <c r="C1" s="188"/>
      <c r="D1" s="189"/>
      <c r="E1" s="188"/>
      <c r="F1" s="187"/>
      <c r="G1" s="187"/>
      <c r="H1" s="187"/>
      <c r="I1" s="187"/>
      <c r="J1" s="187"/>
      <c r="K1" s="187"/>
      <c r="L1" s="187"/>
      <c r="M1" s="187"/>
      <c r="N1" s="190"/>
      <c r="O1" s="190"/>
      <c r="P1" s="191"/>
      <c r="Q1" s="190"/>
      <c r="R1" s="190"/>
      <c r="S1" s="190"/>
      <c r="T1" s="190"/>
      <c r="U1" s="190"/>
      <c r="V1" s="190"/>
      <c r="W1" s="190"/>
      <c r="X1" s="190"/>
      <c r="Y1" s="190"/>
      <c r="Z1" s="192"/>
      <c r="AA1" s="190"/>
      <c r="AB1" s="190"/>
      <c r="AC1" s="190"/>
      <c r="AD1" s="190"/>
      <c r="AE1" s="193"/>
      <c r="AF1" s="193"/>
      <c r="AG1" s="193"/>
      <c r="AH1" s="193"/>
      <c r="AI1" s="193"/>
      <c r="AJ1" s="140"/>
      <c r="AK1" s="140"/>
      <c r="AL1" s="141"/>
      <c r="AM1" s="147"/>
    </row>
    <row r="2" spans="1:39" ht="14.5" customHeight="1" x14ac:dyDescent="0.15">
      <c r="A2" s="194" t="s">
        <v>96</v>
      </c>
      <c r="B2" s="194"/>
      <c r="C2" s="188"/>
      <c r="D2" s="189"/>
      <c r="E2" s="188"/>
      <c r="F2" s="187"/>
      <c r="G2" s="187"/>
      <c r="H2" s="187"/>
      <c r="I2" s="187"/>
      <c r="J2" s="187"/>
      <c r="K2" s="187"/>
      <c r="L2" s="187"/>
      <c r="M2" s="187"/>
      <c r="N2" s="190"/>
      <c r="O2" s="190"/>
      <c r="P2" s="191"/>
      <c r="Q2" s="190"/>
      <c r="R2" s="190"/>
      <c r="S2" s="190"/>
      <c r="T2" s="190"/>
      <c r="U2" s="190"/>
      <c r="V2" s="190"/>
      <c r="W2" s="190"/>
      <c r="X2" s="190"/>
      <c r="Y2" s="190"/>
      <c r="Z2" s="192"/>
      <c r="AA2" s="190"/>
      <c r="AB2" s="190"/>
      <c r="AC2" s="190"/>
      <c r="AD2" s="190"/>
      <c r="AE2" s="193"/>
      <c r="AF2" s="193"/>
      <c r="AG2" s="193"/>
      <c r="AH2" s="193"/>
      <c r="AI2" s="193"/>
      <c r="AJ2" s="140"/>
      <c r="AK2" s="140"/>
      <c r="AL2" s="141"/>
      <c r="AM2" s="147"/>
    </row>
    <row r="3" spans="1:39" ht="14.5" customHeight="1" x14ac:dyDescent="0.15">
      <c r="A3" s="194" t="s">
        <v>262</v>
      </c>
      <c r="B3" s="194"/>
      <c r="C3" s="195"/>
      <c r="D3" s="189"/>
      <c r="E3" s="195"/>
      <c r="F3" s="194"/>
      <c r="G3" s="194"/>
      <c r="H3" s="194"/>
      <c r="I3" s="194"/>
      <c r="J3" s="194"/>
      <c r="K3" s="194"/>
      <c r="L3" s="194"/>
      <c r="M3" s="194"/>
      <c r="N3" s="190"/>
      <c r="O3" s="190"/>
      <c r="P3" s="191"/>
      <c r="Q3" s="190"/>
      <c r="R3" s="190"/>
      <c r="S3" s="190"/>
      <c r="T3" s="190"/>
      <c r="U3" s="190"/>
      <c r="V3" s="190"/>
      <c r="W3" s="190"/>
      <c r="X3" s="190"/>
      <c r="Y3" s="190"/>
      <c r="Z3" s="192"/>
      <c r="AA3" s="190"/>
      <c r="AB3" s="190"/>
      <c r="AC3" s="190"/>
      <c r="AD3" s="190"/>
      <c r="AE3" s="193"/>
      <c r="AF3" s="193"/>
      <c r="AG3" s="193"/>
      <c r="AH3" s="193"/>
      <c r="AI3" s="193"/>
      <c r="AJ3" s="140"/>
      <c r="AK3" s="140"/>
      <c r="AL3" s="141"/>
      <c r="AM3" s="147"/>
    </row>
    <row r="4" spans="1:39" ht="14.5" customHeight="1" x14ac:dyDescent="0.15">
      <c r="A4" s="194"/>
      <c r="B4" s="194"/>
      <c r="C4" s="195"/>
      <c r="D4" s="195"/>
      <c r="E4" s="195"/>
      <c r="F4" s="194"/>
      <c r="G4" s="194"/>
      <c r="H4" s="194"/>
      <c r="I4" s="194"/>
      <c r="J4" s="194"/>
      <c r="K4" s="194"/>
      <c r="L4" s="194"/>
      <c r="M4" s="194"/>
      <c r="N4" s="190"/>
      <c r="O4" s="190"/>
      <c r="P4" s="191"/>
      <c r="Q4" s="190"/>
      <c r="R4" s="190"/>
      <c r="S4" s="190"/>
      <c r="T4" s="190"/>
      <c r="U4" s="190"/>
      <c r="V4" s="190"/>
      <c r="W4" s="190"/>
      <c r="X4" s="190"/>
      <c r="Y4" s="190"/>
      <c r="Z4" s="192"/>
      <c r="AA4" s="190"/>
      <c r="AB4" s="190"/>
      <c r="AC4" s="190"/>
      <c r="AD4" s="190"/>
      <c r="AE4" s="193"/>
      <c r="AF4" s="193"/>
      <c r="AG4" s="193"/>
      <c r="AH4" s="193"/>
      <c r="AI4" s="193"/>
      <c r="AJ4" s="140"/>
      <c r="AK4" s="140"/>
      <c r="AL4" s="141"/>
      <c r="AM4" s="147"/>
    </row>
    <row r="5" spans="1:39" ht="38.5" customHeight="1" x14ac:dyDescent="0.15">
      <c r="A5" s="196" t="s">
        <v>97</v>
      </c>
      <c r="B5" s="196" t="s">
        <v>98</v>
      </c>
      <c r="C5" s="197" t="s">
        <v>99</v>
      </c>
      <c r="D5" s="197" t="s">
        <v>100</v>
      </c>
      <c r="E5" s="197" t="s">
        <v>101</v>
      </c>
      <c r="F5" s="197" t="s">
        <v>102</v>
      </c>
      <c r="G5" s="197" t="s">
        <v>103</v>
      </c>
      <c r="H5" s="293" t="s">
        <v>104</v>
      </c>
      <c r="I5" s="293"/>
      <c r="J5" s="293" t="s">
        <v>105</v>
      </c>
      <c r="K5" s="293"/>
      <c r="L5" s="293" t="s">
        <v>106</v>
      </c>
      <c r="M5" s="293"/>
      <c r="N5" s="293" t="s">
        <v>107</v>
      </c>
      <c r="O5" s="293"/>
      <c r="P5" s="293" t="s">
        <v>247</v>
      </c>
      <c r="Q5" s="293"/>
      <c r="R5" s="293" t="s">
        <v>108</v>
      </c>
      <c r="S5" s="293"/>
      <c r="T5" s="198" t="s">
        <v>109</v>
      </c>
      <c r="U5" s="198"/>
      <c r="V5" s="199" t="s">
        <v>43</v>
      </c>
      <c r="W5" s="199" t="s">
        <v>110</v>
      </c>
      <c r="X5" s="199" t="s">
        <v>111</v>
      </c>
      <c r="Y5" s="199" t="s">
        <v>112</v>
      </c>
      <c r="Z5" s="200" t="s">
        <v>113</v>
      </c>
      <c r="AA5" s="201"/>
      <c r="AB5" s="199" t="s">
        <v>114</v>
      </c>
      <c r="AC5" s="201"/>
      <c r="AD5" s="199" t="s">
        <v>115</v>
      </c>
      <c r="AE5" s="193"/>
      <c r="AF5" s="193"/>
      <c r="AG5" s="193"/>
      <c r="AH5" s="202" t="s">
        <v>248</v>
      </c>
      <c r="AI5" s="203" t="s">
        <v>116</v>
      </c>
      <c r="AJ5" s="140"/>
      <c r="AK5" s="140"/>
      <c r="AL5" s="141"/>
      <c r="AM5" s="147"/>
    </row>
    <row r="6" spans="1:39" ht="14.5" customHeight="1" x14ac:dyDescent="0.15">
      <c r="A6" s="204"/>
      <c r="B6" s="204"/>
      <c r="C6" s="205"/>
      <c r="D6" s="205"/>
      <c r="E6" s="205"/>
      <c r="F6" s="204"/>
      <c r="G6" s="204"/>
      <c r="H6" s="197" t="s">
        <v>21</v>
      </c>
      <c r="I6" s="197" t="s">
        <v>117</v>
      </c>
      <c r="J6" s="197" t="s">
        <v>21</v>
      </c>
      <c r="K6" s="197" t="s">
        <v>117</v>
      </c>
      <c r="L6" s="197" t="s">
        <v>21</v>
      </c>
      <c r="M6" s="206" t="s">
        <v>117</v>
      </c>
      <c r="N6" s="197" t="s">
        <v>21</v>
      </c>
      <c r="O6" s="206" t="s">
        <v>117</v>
      </c>
      <c r="P6" s="197" t="s">
        <v>21</v>
      </c>
      <c r="Q6" s="206" t="s">
        <v>117</v>
      </c>
      <c r="R6" s="197" t="s">
        <v>21</v>
      </c>
      <c r="S6" s="197" t="s">
        <v>117</v>
      </c>
      <c r="T6" s="197" t="s">
        <v>21</v>
      </c>
      <c r="U6" s="197" t="s">
        <v>117</v>
      </c>
      <c r="V6" s="207" t="s">
        <v>21</v>
      </c>
      <c r="W6" s="207" t="s">
        <v>21</v>
      </c>
      <c r="X6" s="207" t="s">
        <v>21</v>
      </c>
      <c r="Y6" s="207"/>
      <c r="Z6" s="208" t="s">
        <v>21</v>
      </c>
      <c r="AA6" s="207"/>
      <c r="AB6" s="207" t="s">
        <v>21</v>
      </c>
      <c r="AC6" s="207"/>
      <c r="AD6" s="207" t="s">
        <v>117</v>
      </c>
      <c r="AE6" s="209"/>
      <c r="AF6" s="209"/>
      <c r="AG6" s="209"/>
      <c r="AH6" s="210" t="s">
        <v>21</v>
      </c>
      <c r="AI6" s="210" t="s">
        <v>21</v>
      </c>
      <c r="AJ6" s="140"/>
      <c r="AK6" s="140"/>
      <c r="AL6" s="141"/>
      <c r="AM6" s="147"/>
    </row>
    <row r="7" spans="1:39" ht="16" customHeight="1" x14ac:dyDescent="0.15">
      <c r="A7" s="211" t="s">
        <v>118</v>
      </c>
      <c r="B7" s="212" t="s">
        <v>239</v>
      </c>
      <c r="C7" s="213" t="s">
        <v>119</v>
      </c>
      <c r="D7" s="189">
        <v>1</v>
      </c>
      <c r="E7" s="189" t="s">
        <v>120</v>
      </c>
      <c r="F7" s="189">
        <v>4</v>
      </c>
      <c r="G7" s="214">
        <v>2323</v>
      </c>
      <c r="H7" s="215">
        <f>+I7*$H$42</f>
        <v>1159.7352941176471</v>
      </c>
      <c r="I7" s="216">
        <f>1/34</f>
        <v>2.9411764705882353E-2</v>
      </c>
      <c r="J7" s="215"/>
      <c r="K7" s="217"/>
      <c r="L7" s="215"/>
      <c r="M7" s="217"/>
      <c r="N7" s="218"/>
      <c r="O7" s="219"/>
      <c r="P7" s="220"/>
      <c r="Q7" s="219"/>
      <c r="R7" s="215">
        <f>+S7*$R$42</f>
        <v>430.49956950000006</v>
      </c>
      <c r="S7" s="216">
        <v>0.14285700000000001</v>
      </c>
      <c r="T7" s="221"/>
      <c r="U7" s="216"/>
      <c r="V7" s="222">
        <f>+H7+J7+L7+N7+P7+R7+T7</f>
        <v>1590.2348636176471</v>
      </c>
      <c r="W7" s="223">
        <v>0</v>
      </c>
      <c r="X7" s="257">
        <f>+V7+W7</f>
        <v>1590.2348636176471</v>
      </c>
      <c r="Y7" s="224"/>
      <c r="Z7" s="225">
        <f>+(+X7-Y7)/12</f>
        <v>132.51957196813726</v>
      </c>
      <c r="AA7" s="193"/>
      <c r="AB7" s="226">
        <v>1590.2348636176471</v>
      </c>
      <c r="AC7" s="193"/>
      <c r="AD7" s="227">
        <f>+V7/AB7-1</f>
        <v>0</v>
      </c>
      <c r="AE7" s="193"/>
      <c r="AF7" s="193"/>
      <c r="AG7" s="193"/>
      <c r="AH7" s="228"/>
      <c r="AI7" s="228"/>
      <c r="AJ7" s="140"/>
      <c r="AK7" s="140"/>
      <c r="AL7" s="141"/>
      <c r="AM7" s="166"/>
    </row>
    <row r="8" spans="1:39" ht="16" customHeight="1" x14ac:dyDescent="0.15">
      <c r="A8" s="211" t="s">
        <v>121</v>
      </c>
      <c r="B8" s="229" t="s">
        <v>122</v>
      </c>
      <c r="C8" s="213" t="s">
        <v>123</v>
      </c>
      <c r="D8" s="189">
        <v>2</v>
      </c>
      <c r="E8" s="189" t="s">
        <v>120</v>
      </c>
      <c r="F8" s="189">
        <v>4</v>
      </c>
      <c r="G8" s="214">
        <v>2010</v>
      </c>
      <c r="H8" s="215">
        <f t="shared" ref="H8:H40" si="0">+I8*$H$42</f>
        <v>1159.7352941176471</v>
      </c>
      <c r="I8" s="216">
        <f t="shared" ref="I8:I40" si="1">1/34</f>
        <v>2.9411764705882353E-2</v>
      </c>
      <c r="J8" s="215"/>
      <c r="K8" s="217"/>
      <c r="L8" s="215"/>
      <c r="M8" s="217"/>
      <c r="N8" s="218"/>
      <c r="O8" s="219"/>
      <c r="P8" s="220"/>
      <c r="Q8" s="219"/>
      <c r="R8" s="215">
        <f t="shared" ref="R8:R13" si="2">+S8*$R$42</f>
        <v>430.49956950000006</v>
      </c>
      <c r="S8" s="216">
        <v>0.14285700000000001</v>
      </c>
      <c r="T8" s="221"/>
      <c r="U8" s="216"/>
      <c r="V8" s="222">
        <f t="shared" ref="V8:V40" si="3">+H8+J8+L8+N8+P8+R8+T8</f>
        <v>1590.2348636176471</v>
      </c>
      <c r="W8" s="223">
        <v>0</v>
      </c>
      <c r="X8" s="257">
        <f t="shared" ref="X8:X40" si="4">+V8+W8</f>
        <v>1590.2348636176471</v>
      </c>
      <c r="Y8" s="224"/>
      <c r="Z8" s="225">
        <f t="shared" ref="Z8:Z40" si="5">+(+X8-Y8)/12</f>
        <v>132.51957196813726</v>
      </c>
      <c r="AA8" s="193"/>
      <c r="AB8" s="226">
        <v>1590.2348636176471</v>
      </c>
      <c r="AC8" s="193"/>
      <c r="AD8" s="227">
        <f t="shared" ref="AD8:AD40" si="6">+V8/AB8-1</f>
        <v>0</v>
      </c>
      <c r="AE8" s="193"/>
      <c r="AF8" s="193"/>
      <c r="AG8" s="193"/>
      <c r="AH8" s="230"/>
      <c r="AI8" s="228"/>
      <c r="AJ8" s="140"/>
      <c r="AK8" s="140"/>
      <c r="AL8" s="141"/>
      <c r="AM8" s="166"/>
    </row>
    <row r="9" spans="1:39" ht="14.5" customHeight="1" x14ac:dyDescent="0.15">
      <c r="A9" s="211" t="s">
        <v>124</v>
      </c>
      <c r="B9" s="231" t="s">
        <v>125</v>
      </c>
      <c r="C9" s="213" t="s">
        <v>126</v>
      </c>
      <c r="D9" s="189">
        <v>3</v>
      </c>
      <c r="E9" s="189" t="s">
        <v>120</v>
      </c>
      <c r="F9" s="189">
        <v>4</v>
      </c>
      <c r="G9" s="214">
        <v>2309</v>
      </c>
      <c r="H9" s="215">
        <f t="shared" si="0"/>
        <v>1159.7352941176471</v>
      </c>
      <c r="I9" s="216">
        <f t="shared" si="1"/>
        <v>2.9411764705882353E-2</v>
      </c>
      <c r="J9" s="215"/>
      <c r="K9" s="217"/>
      <c r="L9" s="215"/>
      <c r="M9" s="217"/>
      <c r="N9" s="218"/>
      <c r="O9" s="219"/>
      <c r="P9" s="220"/>
      <c r="Q9" s="219"/>
      <c r="R9" s="215">
        <f t="shared" si="2"/>
        <v>430.49956950000006</v>
      </c>
      <c r="S9" s="216">
        <v>0.14285700000000001</v>
      </c>
      <c r="T9" s="221"/>
      <c r="U9" s="216"/>
      <c r="V9" s="222">
        <f t="shared" si="3"/>
        <v>1590.2348636176471</v>
      </c>
      <c r="W9" s="223">
        <v>0</v>
      </c>
      <c r="X9" s="257">
        <f t="shared" si="4"/>
        <v>1590.2348636176471</v>
      </c>
      <c r="Y9" s="224"/>
      <c r="Z9" s="225">
        <f t="shared" si="5"/>
        <v>132.51957196813726</v>
      </c>
      <c r="AA9" s="193"/>
      <c r="AB9" s="226">
        <v>1590.2348636176471</v>
      </c>
      <c r="AC9" s="193"/>
      <c r="AD9" s="227">
        <f t="shared" si="6"/>
        <v>0</v>
      </c>
      <c r="AE9" s="193"/>
      <c r="AF9" s="193"/>
      <c r="AG9" s="193"/>
      <c r="AH9" s="230"/>
      <c r="AI9" s="228"/>
      <c r="AJ9" s="140"/>
      <c r="AK9" s="140"/>
      <c r="AL9" s="141"/>
      <c r="AM9" s="166"/>
    </row>
    <row r="10" spans="1:39" ht="16" customHeight="1" x14ac:dyDescent="0.15">
      <c r="A10" s="211" t="s">
        <v>127</v>
      </c>
      <c r="B10" s="212" t="s">
        <v>128</v>
      </c>
      <c r="C10" s="213" t="s">
        <v>129</v>
      </c>
      <c r="D10" s="189">
        <v>4</v>
      </c>
      <c r="E10" s="189" t="s">
        <v>120</v>
      </c>
      <c r="F10" s="189">
        <v>4</v>
      </c>
      <c r="G10" s="214">
        <v>1879</v>
      </c>
      <c r="H10" s="215">
        <f t="shared" si="0"/>
        <v>1159.7352941176471</v>
      </c>
      <c r="I10" s="216">
        <f t="shared" si="1"/>
        <v>2.9411764705882353E-2</v>
      </c>
      <c r="J10" s="215"/>
      <c r="K10" s="217"/>
      <c r="L10" s="215"/>
      <c r="M10" s="217"/>
      <c r="N10" s="218"/>
      <c r="O10" s="219"/>
      <c r="P10" s="220"/>
      <c r="Q10" s="219"/>
      <c r="R10" s="215">
        <f t="shared" si="2"/>
        <v>430.49956950000006</v>
      </c>
      <c r="S10" s="216">
        <v>0.14285700000000001</v>
      </c>
      <c r="T10" s="221"/>
      <c r="U10" s="216"/>
      <c r="V10" s="222">
        <f t="shared" si="3"/>
        <v>1590.2348636176471</v>
      </c>
      <c r="W10" s="223">
        <v>0</v>
      </c>
      <c r="X10" s="257">
        <f t="shared" si="4"/>
        <v>1590.2348636176471</v>
      </c>
      <c r="Y10" s="224"/>
      <c r="Z10" s="225">
        <f t="shared" si="5"/>
        <v>132.51957196813726</v>
      </c>
      <c r="AA10" s="193"/>
      <c r="AB10" s="226">
        <v>1590.2348636176471</v>
      </c>
      <c r="AC10" s="193"/>
      <c r="AD10" s="227">
        <f t="shared" si="6"/>
        <v>0</v>
      </c>
      <c r="AE10" s="193"/>
      <c r="AF10" s="193"/>
      <c r="AG10" s="193"/>
      <c r="AH10" s="230"/>
      <c r="AI10" s="228"/>
      <c r="AJ10" s="140"/>
      <c r="AK10" s="140"/>
      <c r="AL10" s="141"/>
      <c r="AM10" s="166"/>
    </row>
    <row r="11" spans="1:39" ht="16" customHeight="1" x14ac:dyDescent="0.15">
      <c r="A11" s="211" t="s">
        <v>130</v>
      </c>
      <c r="B11" s="212" t="s">
        <v>131</v>
      </c>
      <c r="C11" s="213" t="s">
        <v>132</v>
      </c>
      <c r="D11" s="189">
        <v>5</v>
      </c>
      <c r="E11" s="189" t="s">
        <v>120</v>
      </c>
      <c r="F11" s="189">
        <v>3</v>
      </c>
      <c r="G11" s="214">
        <v>1060</v>
      </c>
      <c r="H11" s="215">
        <f t="shared" si="0"/>
        <v>1159.7352941176471</v>
      </c>
      <c r="I11" s="216">
        <f t="shared" si="1"/>
        <v>2.9411764705882353E-2</v>
      </c>
      <c r="J11" s="215"/>
      <c r="K11" s="217"/>
      <c r="L11" s="215"/>
      <c r="M11" s="217"/>
      <c r="N11" s="218"/>
      <c r="O11" s="219"/>
      <c r="P11" s="220"/>
      <c r="Q11" s="219"/>
      <c r="R11" s="215">
        <f t="shared" si="2"/>
        <v>430.49956950000006</v>
      </c>
      <c r="S11" s="216">
        <v>0.14285700000000001</v>
      </c>
      <c r="T11" s="221"/>
      <c r="U11" s="216"/>
      <c r="V11" s="222">
        <f t="shared" si="3"/>
        <v>1590.2348636176471</v>
      </c>
      <c r="W11" s="223">
        <v>0</v>
      </c>
      <c r="X11" s="257">
        <f t="shared" si="4"/>
        <v>1590.2348636176471</v>
      </c>
      <c r="Y11" s="224"/>
      <c r="Z11" s="225">
        <f t="shared" si="5"/>
        <v>132.51957196813726</v>
      </c>
      <c r="AA11" s="193"/>
      <c r="AB11" s="226">
        <v>1590.2348636176471</v>
      </c>
      <c r="AC11" s="193"/>
      <c r="AD11" s="227">
        <f t="shared" si="6"/>
        <v>0</v>
      </c>
      <c r="AE11" s="193"/>
      <c r="AF11" s="193"/>
      <c r="AG11" s="193"/>
      <c r="AH11" s="230"/>
      <c r="AI11" s="228"/>
      <c r="AJ11" s="140"/>
      <c r="AK11" s="140"/>
      <c r="AL11" s="141"/>
      <c r="AM11" s="166"/>
    </row>
    <row r="12" spans="1:39" ht="16" customHeight="1" x14ac:dyDescent="0.15">
      <c r="A12" s="211" t="s">
        <v>133</v>
      </c>
      <c r="B12" s="212" t="s">
        <v>243</v>
      </c>
      <c r="C12" s="213" t="s">
        <v>134</v>
      </c>
      <c r="D12" s="189">
        <v>6</v>
      </c>
      <c r="E12" s="189" t="s">
        <v>120</v>
      </c>
      <c r="F12" s="189">
        <v>4</v>
      </c>
      <c r="G12" s="214">
        <v>1707</v>
      </c>
      <c r="H12" s="215">
        <f t="shared" si="0"/>
        <v>1159.7352941176471</v>
      </c>
      <c r="I12" s="216">
        <f t="shared" si="1"/>
        <v>2.9411764705882353E-2</v>
      </c>
      <c r="J12" s="215"/>
      <c r="K12" s="217"/>
      <c r="L12" s="215"/>
      <c r="M12" s="217"/>
      <c r="N12" s="218"/>
      <c r="O12" s="219"/>
      <c r="P12" s="220"/>
      <c r="Q12" s="219"/>
      <c r="R12" s="215">
        <f t="shared" si="2"/>
        <v>430.49956950000006</v>
      </c>
      <c r="S12" s="216">
        <v>0.14285700000000001</v>
      </c>
      <c r="T12" s="221"/>
      <c r="U12" s="216"/>
      <c r="V12" s="222">
        <f t="shared" si="3"/>
        <v>1590.2348636176471</v>
      </c>
      <c r="W12" s="223">
        <v>0</v>
      </c>
      <c r="X12" s="257">
        <f t="shared" si="4"/>
        <v>1590.2348636176471</v>
      </c>
      <c r="Y12" s="224"/>
      <c r="Z12" s="225">
        <f t="shared" si="5"/>
        <v>132.51957196813726</v>
      </c>
      <c r="AA12" s="193"/>
      <c r="AB12" s="226">
        <v>1590.2348636176471</v>
      </c>
      <c r="AC12" s="193"/>
      <c r="AD12" s="227">
        <f t="shared" si="6"/>
        <v>0</v>
      </c>
      <c r="AE12" s="193"/>
      <c r="AF12" s="193"/>
      <c r="AG12" s="193"/>
      <c r="AH12" s="230"/>
      <c r="AI12" s="228"/>
      <c r="AJ12" s="140"/>
      <c r="AK12" s="140"/>
      <c r="AL12" s="141"/>
      <c r="AM12" s="166"/>
    </row>
    <row r="13" spans="1:39" ht="16" customHeight="1" x14ac:dyDescent="0.15">
      <c r="A13" s="211" t="s">
        <v>135</v>
      </c>
      <c r="B13" s="212" t="s">
        <v>136</v>
      </c>
      <c r="C13" s="213" t="s">
        <v>137</v>
      </c>
      <c r="D13" s="189">
        <v>7</v>
      </c>
      <c r="E13" s="189" t="s">
        <v>120</v>
      </c>
      <c r="F13" s="189">
        <v>4</v>
      </c>
      <c r="G13" s="214">
        <v>1879</v>
      </c>
      <c r="H13" s="215">
        <f t="shared" si="0"/>
        <v>1159.7352941176471</v>
      </c>
      <c r="I13" s="216">
        <f t="shared" si="1"/>
        <v>2.9411764705882353E-2</v>
      </c>
      <c r="J13" s="215"/>
      <c r="K13" s="217"/>
      <c r="L13" s="215"/>
      <c r="M13" s="217"/>
      <c r="N13" s="218"/>
      <c r="O13" s="219"/>
      <c r="P13" s="220"/>
      <c r="Q13" s="219"/>
      <c r="R13" s="215">
        <f t="shared" si="2"/>
        <v>430.49956950000006</v>
      </c>
      <c r="S13" s="216">
        <v>0.14285700000000001</v>
      </c>
      <c r="T13" s="221"/>
      <c r="U13" s="216"/>
      <c r="V13" s="222">
        <f t="shared" si="3"/>
        <v>1590.2348636176471</v>
      </c>
      <c r="W13" s="223">
        <v>0</v>
      </c>
      <c r="X13" s="257">
        <f t="shared" si="4"/>
        <v>1590.2348636176471</v>
      </c>
      <c r="Y13" s="224"/>
      <c r="Z13" s="225">
        <f t="shared" si="5"/>
        <v>132.51957196813726</v>
      </c>
      <c r="AA13" s="193"/>
      <c r="AB13" s="226">
        <v>1590.2348636176471</v>
      </c>
      <c r="AC13" s="193"/>
      <c r="AD13" s="227">
        <f t="shared" si="6"/>
        <v>0</v>
      </c>
      <c r="AE13" s="193"/>
      <c r="AF13" s="193"/>
      <c r="AG13" s="193"/>
      <c r="AH13" s="230"/>
      <c r="AI13" s="228"/>
      <c r="AJ13" s="140"/>
      <c r="AK13" s="140"/>
      <c r="AL13" s="141"/>
      <c r="AM13" s="166"/>
    </row>
    <row r="14" spans="1:39" ht="16" customHeight="1" x14ac:dyDescent="0.15">
      <c r="A14" s="211" t="s">
        <v>138</v>
      </c>
      <c r="B14" s="212" t="s">
        <v>139</v>
      </c>
      <c r="C14" s="213" t="s">
        <v>140</v>
      </c>
      <c r="D14" s="189">
        <v>8</v>
      </c>
      <c r="E14" s="189" t="s">
        <v>141</v>
      </c>
      <c r="F14" s="189">
        <v>4</v>
      </c>
      <c r="G14" s="214">
        <v>1639</v>
      </c>
      <c r="H14" s="215">
        <f t="shared" si="0"/>
        <v>1159.7352941176471</v>
      </c>
      <c r="I14" s="216">
        <f t="shared" si="1"/>
        <v>2.9411764705882353E-2</v>
      </c>
      <c r="J14" s="215"/>
      <c r="K14" s="217"/>
      <c r="L14" s="215"/>
      <c r="M14" s="217"/>
      <c r="N14" s="218"/>
      <c r="O14" s="219"/>
      <c r="P14" s="220"/>
      <c r="Q14" s="219"/>
      <c r="R14" s="215"/>
      <c r="S14" s="217"/>
      <c r="T14" s="221"/>
      <c r="U14" s="217"/>
      <c r="V14" s="222">
        <f t="shared" si="3"/>
        <v>1159.7352941176471</v>
      </c>
      <c r="W14" s="223">
        <v>0</v>
      </c>
      <c r="X14" s="257">
        <f t="shared" si="4"/>
        <v>1159.7352941176471</v>
      </c>
      <c r="Y14" s="224"/>
      <c r="Z14" s="225">
        <f t="shared" si="5"/>
        <v>96.644607843137251</v>
      </c>
      <c r="AA14" s="193"/>
      <c r="AB14" s="226">
        <v>1159.7352941176471</v>
      </c>
      <c r="AC14" s="193"/>
      <c r="AD14" s="227">
        <f t="shared" si="6"/>
        <v>0</v>
      </c>
      <c r="AE14" s="193"/>
      <c r="AF14" s="193"/>
      <c r="AG14" s="193"/>
      <c r="AH14" s="230"/>
      <c r="AI14" s="228"/>
      <c r="AJ14" s="140"/>
      <c r="AK14" s="140"/>
      <c r="AL14" s="141"/>
      <c r="AM14" s="166"/>
    </row>
    <row r="15" spans="1:39" ht="16" customHeight="1" x14ac:dyDescent="0.15">
      <c r="A15" s="211" t="s">
        <v>142</v>
      </c>
      <c r="B15" s="212" t="s">
        <v>143</v>
      </c>
      <c r="C15" s="213" t="s">
        <v>144</v>
      </c>
      <c r="D15" s="189">
        <v>9</v>
      </c>
      <c r="E15" s="189" t="s">
        <v>145</v>
      </c>
      <c r="F15" s="189">
        <v>4</v>
      </c>
      <c r="G15" s="214">
        <v>1769</v>
      </c>
      <c r="H15" s="215">
        <f t="shared" si="0"/>
        <v>1159.7352941176471</v>
      </c>
      <c r="I15" s="216">
        <f t="shared" si="1"/>
        <v>2.9411764705882353E-2</v>
      </c>
      <c r="J15" s="215"/>
      <c r="K15" s="217"/>
      <c r="L15" s="215"/>
      <c r="M15" s="217"/>
      <c r="N15" s="218"/>
      <c r="O15" s="219"/>
      <c r="P15" s="220"/>
      <c r="Q15" s="219"/>
      <c r="R15" s="215"/>
      <c r="S15" s="217"/>
      <c r="T15" s="221">
        <f>+U15*$T$42</f>
        <v>44.833333333333329</v>
      </c>
      <c r="U15" s="217">
        <v>8.3333333333333329E-2</v>
      </c>
      <c r="V15" s="222">
        <f t="shared" si="3"/>
        <v>1204.5686274509803</v>
      </c>
      <c r="W15" s="223">
        <v>0</v>
      </c>
      <c r="X15" s="257">
        <f t="shared" si="4"/>
        <v>1204.5686274509803</v>
      </c>
      <c r="Y15" s="224"/>
      <c r="Z15" s="225">
        <f t="shared" si="5"/>
        <v>100.38071895424837</v>
      </c>
      <c r="AA15" s="193"/>
      <c r="AB15" s="232">
        <v>1204.5686274509803</v>
      </c>
      <c r="AC15" s="193"/>
      <c r="AD15" s="227">
        <f t="shared" si="6"/>
        <v>0</v>
      </c>
      <c r="AE15" s="193"/>
      <c r="AF15" s="193"/>
      <c r="AG15" s="193"/>
      <c r="AH15" s="230"/>
      <c r="AI15" s="228"/>
      <c r="AJ15" s="140"/>
      <c r="AK15" s="140"/>
      <c r="AL15" s="141"/>
      <c r="AM15" s="166"/>
    </row>
    <row r="16" spans="1:39" ht="16" customHeight="1" x14ac:dyDescent="0.15">
      <c r="A16" s="211" t="s">
        <v>146</v>
      </c>
      <c r="B16" s="229" t="s">
        <v>147</v>
      </c>
      <c r="C16" s="213" t="s">
        <v>148</v>
      </c>
      <c r="D16" s="189">
        <v>10</v>
      </c>
      <c r="E16" s="189" t="s">
        <v>145</v>
      </c>
      <c r="F16" s="189">
        <v>4</v>
      </c>
      <c r="G16" s="214">
        <v>1769</v>
      </c>
      <c r="H16" s="215">
        <f t="shared" si="0"/>
        <v>1159.7352941176471</v>
      </c>
      <c r="I16" s="216">
        <f t="shared" si="1"/>
        <v>2.9411764705882353E-2</v>
      </c>
      <c r="J16" s="215"/>
      <c r="K16" s="217"/>
      <c r="L16" s="215"/>
      <c r="M16" s="217"/>
      <c r="N16" s="218"/>
      <c r="O16" s="219"/>
      <c r="P16" s="220"/>
      <c r="Q16" s="219"/>
      <c r="R16" s="215"/>
      <c r="S16" s="217"/>
      <c r="T16" s="221">
        <f t="shared" ref="T16:T26" si="7">+U16*$T$42</f>
        <v>44.833333333333329</v>
      </c>
      <c r="U16" s="217">
        <v>8.3333333333333329E-2</v>
      </c>
      <c r="V16" s="222">
        <f t="shared" si="3"/>
        <v>1204.5686274509803</v>
      </c>
      <c r="W16" s="223">
        <v>0</v>
      </c>
      <c r="X16" s="257">
        <f t="shared" si="4"/>
        <v>1204.5686274509803</v>
      </c>
      <c r="Y16" s="224"/>
      <c r="Z16" s="225">
        <f t="shared" si="5"/>
        <v>100.38071895424837</v>
      </c>
      <c r="AA16" s="193"/>
      <c r="AB16" s="226">
        <v>1204.5686274509803</v>
      </c>
      <c r="AC16" s="193"/>
      <c r="AD16" s="227">
        <f t="shared" si="6"/>
        <v>0</v>
      </c>
      <c r="AE16" s="193"/>
      <c r="AF16" s="193"/>
      <c r="AG16" s="193"/>
      <c r="AH16" s="230"/>
      <c r="AI16" s="228"/>
      <c r="AJ16" s="140"/>
      <c r="AK16" s="140"/>
      <c r="AL16" s="141"/>
      <c r="AM16" s="166"/>
    </row>
    <row r="17" spans="1:39" ht="16" customHeight="1" x14ac:dyDescent="0.15">
      <c r="A17" s="211" t="s">
        <v>149</v>
      </c>
      <c r="B17" s="212" t="s">
        <v>150</v>
      </c>
      <c r="C17" s="213" t="s">
        <v>151</v>
      </c>
      <c r="D17" s="189">
        <v>11</v>
      </c>
      <c r="E17" s="189" t="s">
        <v>152</v>
      </c>
      <c r="F17" s="189">
        <v>5</v>
      </c>
      <c r="G17" s="214">
        <v>3493</v>
      </c>
      <c r="H17" s="215">
        <f t="shared" si="0"/>
        <v>1159.7352941176471</v>
      </c>
      <c r="I17" s="216">
        <f t="shared" si="1"/>
        <v>2.9411764705882353E-2</v>
      </c>
      <c r="J17" s="215"/>
      <c r="K17" s="217"/>
      <c r="L17" s="215"/>
      <c r="M17" s="217"/>
      <c r="N17" s="218"/>
      <c r="O17" s="219"/>
      <c r="P17" s="220"/>
      <c r="Q17" s="219"/>
      <c r="R17" s="215"/>
      <c r="S17" s="217"/>
      <c r="T17" s="221">
        <f t="shared" si="7"/>
        <v>44.833333333333329</v>
      </c>
      <c r="U17" s="217">
        <v>8.3333333333333329E-2</v>
      </c>
      <c r="V17" s="222">
        <f t="shared" si="3"/>
        <v>1204.5686274509803</v>
      </c>
      <c r="W17" s="223">
        <v>0</v>
      </c>
      <c r="X17" s="257">
        <f t="shared" si="4"/>
        <v>1204.5686274509803</v>
      </c>
      <c r="Y17" s="224"/>
      <c r="Z17" s="225">
        <f t="shared" si="5"/>
        <v>100.38071895424837</v>
      </c>
      <c r="AA17" s="193"/>
      <c r="AB17" s="226">
        <v>1204.5686274509803</v>
      </c>
      <c r="AC17" s="193"/>
      <c r="AD17" s="227">
        <f t="shared" si="6"/>
        <v>0</v>
      </c>
      <c r="AE17" s="193"/>
      <c r="AF17" s="193"/>
      <c r="AG17" s="193"/>
      <c r="AH17" s="230"/>
      <c r="AI17" s="228"/>
      <c r="AJ17" s="140"/>
      <c r="AK17" s="140"/>
      <c r="AL17" s="141"/>
      <c r="AM17" s="166"/>
    </row>
    <row r="18" spans="1:39" ht="16" customHeight="1" x14ac:dyDescent="0.15">
      <c r="A18" s="211" t="s">
        <v>153</v>
      </c>
      <c r="B18" s="212" t="s">
        <v>154</v>
      </c>
      <c r="C18" s="213" t="s">
        <v>155</v>
      </c>
      <c r="D18" s="189">
        <v>12</v>
      </c>
      <c r="E18" s="189" t="s">
        <v>152</v>
      </c>
      <c r="F18" s="189">
        <v>5</v>
      </c>
      <c r="G18" s="214">
        <v>3493</v>
      </c>
      <c r="H18" s="215">
        <f t="shared" si="0"/>
        <v>1159.7352941176471</v>
      </c>
      <c r="I18" s="216">
        <f t="shared" si="1"/>
        <v>2.9411764705882353E-2</v>
      </c>
      <c r="J18" s="215"/>
      <c r="K18" s="217"/>
      <c r="L18" s="215"/>
      <c r="M18" s="217"/>
      <c r="N18" s="218"/>
      <c r="O18" s="219"/>
      <c r="P18" s="220"/>
      <c r="Q18" s="219"/>
      <c r="R18" s="215"/>
      <c r="S18" s="217"/>
      <c r="T18" s="221">
        <f t="shared" si="7"/>
        <v>44.833333333333329</v>
      </c>
      <c r="U18" s="217">
        <v>8.3333333333333329E-2</v>
      </c>
      <c r="V18" s="222">
        <f t="shared" si="3"/>
        <v>1204.5686274509803</v>
      </c>
      <c r="W18" s="223">
        <v>0</v>
      </c>
      <c r="X18" s="257">
        <f t="shared" si="4"/>
        <v>1204.5686274509803</v>
      </c>
      <c r="Y18" s="224"/>
      <c r="Z18" s="225">
        <f t="shared" si="5"/>
        <v>100.38071895424837</v>
      </c>
      <c r="AA18" s="193"/>
      <c r="AB18" s="226">
        <v>1204.5686274509803</v>
      </c>
      <c r="AC18" s="193"/>
      <c r="AD18" s="227">
        <f t="shared" si="6"/>
        <v>0</v>
      </c>
      <c r="AE18" s="193"/>
      <c r="AF18" s="193"/>
      <c r="AG18" s="193"/>
      <c r="AH18" s="230"/>
      <c r="AI18" s="228"/>
      <c r="AJ18" s="140"/>
      <c r="AK18" s="140"/>
      <c r="AL18" s="141"/>
      <c r="AM18" s="166"/>
    </row>
    <row r="19" spans="1:39" ht="14.5" customHeight="1" x14ac:dyDescent="0.15">
      <c r="A19" s="211" t="s">
        <v>156</v>
      </c>
      <c r="B19" s="231" t="s">
        <v>240</v>
      </c>
      <c r="C19" s="213" t="s">
        <v>157</v>
      </c>
      <c r="D19" s="189">
        <v>13</v>
      </c>
      <c r="E19" s="189" t="s">
        <v>152</v>
      </c>
      <c r="F19" s="189">
        <v>5</v>
      </c>
      <c r="G19" s="214">
        <v>3493</v>
      </c>
      <c r="H19" s="215">
        <f t="shared" si="0"/>
        <v>1159.7352941176471</v>
      </c>
      <c r="I19" s="216">
        <f t="shared" si="1"/>
        <v>2.9411764705882353E-2</v>
      </c>
      <c r="J19" s="215"/>
      <c r="K19" s="217"/>
      <c r="L19" s="215"/>
      <c r="M19" s="217"/>
      <c r="N19" s="218"/>
      <c r="O19" s="219"/>
      <c r="P19" s="220"/>
      <c r="Q19" s="219"/>
      <c r="R19" s="215"/>
      <c r="S19" s="217"/>
      <c r="T19" s="221">
        <f t="shared" si="7"/>
        <v>44.833333333333329</v>
      </c>
      <c r="U19" s="217">
        <v>8.3333333333333329E-2</v>
      </c>
      <c r="V19" s="222">
        <f t="shared" si="3"/>
        <v>1204.5686274509803</v>
      </c>
      <c r="W19" s="223">
        <v>0</v>
      </c>
      <c r="X19" s="257">
        <f t="shared" si="4"/>
        <v>1204.5686274509803</v>
      </c>
      <c r="Y19" s="224"/>
      <c r="Z19" s="225">
        <f t="shared" si="5"/>
        <v>100.38071895424837</v>
      </c>
      <c r="AA19" s="193"/>
      <c r="AB19" s="226">
        <v>1204.5686274509803</v>
      </c>
      <c r="AC19" s="193"/>
      <c r="AD19" s="227">
        <f t="shared" si="6"/>
        <v>0</v>
      </c>
      <c r="AE19" s="193"/>
      <c r="AF19" s="193"/>
      <c r="AG19" s="193"/>
      <c r="AH19" s="230"/>
      <c r="AI19" s="228"/>
      <c r="AJ19" s="140"/>
      <c r="AK19" s="140"/>
      <c r="AL19" s="141"/>
      <c r="AM19" s="166"/>
    </row>
    <row r="20" spans="1:39" ht="14.5" customHeight="1" x14ac:dyDescent="0.15">
      <c r="A20" s="211" t="s">
        <v>158</v>
      </c>
      <c r="B20" s="231" t="s">
        <v>159</v>
      </c>
      <c r="C20" s="213" t="s">
        <v>160</v>
      </c>
      <c r="D20" s="189">
        <v>14</v>
      </c>
      <c r="E20" s="189" t="s">
        <v>152</v>
      </c>
      <c r="F20" s="189">
        <v>5</v>
      </c>
      <c r="G20" s="214">
        <v>3493</v>
      </c>
      <c r="H20" s="215">
        <f t="shared" si="0"/>
        <v>1159.7352941176471</v>
      </c>
      <c r="I20" s="216">
        <f t="shared" si="1"/>
        <v>2.9411764705882353E-2</v>
      </c>
      <c r="J20" s="215"/>
      <c r="K20" s="217"/>
      <c r="L20" s="215"/>
      <c r="M20" s="217"/>
      <c r="N20" s="218"/>
      <c r="O20" s="219"/>
      <c r="P20" s="220"/>
      <c r="Q20" s="219"/>
      <c r="R20" s="215"/>
      <c r="S20" s="217"/>
      <c r="T20" s="221">
        <f t="shared" si="7"/>
        <v>44.833333333333329</v>
      </c>
      <c r="U20" s="217">
        <v>8.3333333333333329E-2</v>
      </c>
      <c r="V20" s="222">
        <f t="shared" si="3"/>
        <v>1204.5686274509803</v>
      </c>
      <c r="W20" s="223">
        <v>0</v>
      </c>
      <c r="X20" s="257">
        <f t="shared" si="4"/>
        <v>1204.5686274509803</v>
      </c>
      <c r="Y20" s="224"/>
      <c r="Z20" s="225">
        <f t="shared" si="5"/>
        <v>100.38071895424837</v>
      </c>
      <c r="AA20" s="193"/>
      <c r="AB20" s="226">
        <v>1204.5686274509803</v>
      </c>
      <c r="AC20" s="193"/>
      <c r="AD20" s="227">
        <f t="shared" si="6"/>
        <v>0</v>
      </c>
      <c r="AE20" s="193"/>
      <c r="AF20" s="193"/>
      <c r="AG20" s="193"/>
      <c r="AH20" s="230"/>
      <c r="AI20" s="228"/>
      <c r="AJ20" s="140"/>
      <c r="AK20" s="140"/>
      <c r="AL20" s="141"/>
      <c r="AM20" s="166"/>
    </row>
    <row r="21" spans="1:39" ht="16" customHeight="1" x14ac:dyDescent="0.15">
      <c r="A21" s="211" t="s">
        <v>161</v>
      </c>
      <c r="B21" s="212" t="s">
        <v>162</v>
      </c>
      <c r="C21" s="213" t="s">
        <v>163</v>
      </c>
      <c r="D21" s="189">
        <v>15</v>
      </c>
      <c r="E21" s="189" t="s">
        <v>164</v>
      </c>
      <c r="F21" s="233" t="s">
        <v>165</v>
      </c>
      <c r="G21" s="214">
        <v>2141</v>
      </c>
      <c r="H21" s="215">
        <f t="shared" si="0"/>
        <v>1159.7352941176471</v>
      </c>
      <c r="I21" s="216">
        <f t="shared" si="1"/>
        <v>2.9411764705882353E-2</v>
      </c>
      <c r="J21" s="215"/>
      <c r="K21" s="217"/>
      <c r="L21" s="215"/>
      <c r="M21" s="217"/>
      <c r="N21" s="218"/>
      <c r="O21" s="219"/>
      <c r="P21" s="220"/>
      <c r="Q21" s="219"/>
      <c r="R21" s="215"/>
      <c r="S21" s="217"/>
      <c r="T21" s="221">
        <f t="shared" si="7"/>
        <v>44.833333333333329</v>
      </c>
      <c r="U21" s="217">
        <v>8.3333333333333329E-2</v>
      </c>
      <c r="V21" s="222">
        <f t="shared" si="3"/>
        <v>1204.5686274509803</v>
      </c>
      <c r="W21" s="223">
        <v>0</v>
      </c>
      <c r="X21" s="257">
        <f t="shared" si="4"/>
        <v>1204.5686274509803</v>
      </c>
      <c r="Y21" s="224"/>
      <c r="Z21" s="225">
        <f t="shared" si="5"/>
        <v>100.38071895424837</v>
      </c>
      <c r="AA21" s="193"/>
      <c r="AB21" s="226">
        <v>1204.5686274509803</v>
      </c>
      <c r="AC21" s="193"/>
      <c r="AD21" s="227">
        <f t="shared" si="6"/>
        <v>0</v>
      </c>
      <c r="AE21" s="193"/>
      <c r="AF21" s="193"/>
      <c r="AG21" s="193"/>
      <c r="AH21" s="230"/>
      <c r="AI21" s="228"/>
      <c r="AJ21" s="140"/>
      <c r="AK21" s="140"/>
      <c r="AL21" s="141"/>
      <c r="AM21" s="166"/>
    </row>
    <row r="22" spans="1:39" ht="16" customHeight="1" x14ac:dyDescent="0.15">
      <c r="A22" s="211" t="s">
        <v>166</v>
      </c>
      <c r="B22" s="212" t="s">
        <v>167</v>
      </c>
      <c r="C22" s="213" t="s">
        <v>168</v>
      </c>
      <c r="D22" s="189">
        <v>16</v>
      </c>
      <c r="E22" s="189" t="s">
        <v>169</v>
      </c>
      <c r="F22" s="233" t="s">
        <v>165</v>
      </c>
      <c r="G22" s="214">
        <v>2770</v>
      </c>
      <c r="H22" s="215">
        <f t="shared" si="0"/>
        <v>1159.7352941176471</v>
      </c>
      <c r="I22" s="216">
        <f t="shared" si="1"/>
        <v>2.9411764705882353E-2</v>
      </c>
      <c r="J22" s="215"/>
      <c r="K22" s="217"/>
      <c r="L22" s="215"/>
      <c r="M22" s="217"/>
      <c r="N22" s="218"/>
      <c r="O22" s="219"/>
      <c r="P22" s="220"/>
      <c r="Q22" s="219"/>
      <c r="R22" s="215"/>
      <c r="S22" s="217"/>
      <c r="T22" s="221">
        <f t="shared" si="7"/>
        <v>44.833333333333329</v>
      </c>
      <c r="U22" s="217">
        <v>8.3333333333333329E-2</v>
      </c>
      <c r="V22" s="222">
        <f t="shared" si="3"/>
        <v>1204.5686274509803</v>
      </c>
      <c r="W22" s="223">
        <v>0</v>
      </c>
      <c r="X22" s="257">
        <f t="shared" si="4"/>
        <v>1204.5686274509803</v>
      </c>
      <c r="Y22" s="224"/>
      <c r="Z22" s="225">
        <f t="shared" si="5"/>
        <v>100.38071895424837</v>
      </c>
      <c r="AA22" s="193"/>
      <c r="AB22" s="226">
        <v>1204.5686274509803</v>
      </c>
      <c r="AC22" s="193"/>
      <c r="AD22" s="227">
        <f t="shared" si="6"/>
        <v>0</v>
      </c>
      <c r="AE22" s="193"/>
      <c r="AF22" s="193"/>
      <c r="AG22" s="193"/>
      <c r="AH22" s="230"/>
      <c r="AI22" s="228"/>
      <c r="AJ22" s="140"/>
      <c r="AK22" s="140"/>
      <c r="AL22" s="141"/>
      <c r="AM22" s="166"/>
    </row>
    <row r="23" spans="1:39" ht="14.5" customHeight="1" x14ac:dyDescent="0.15">
      <c r="A23" s="211" t="s">
        <v>170</v>
      </c>
      <c r="B23" s="231" t="s">
        <v>171</v>
      </c>
      <c r="C23" s="213" t="s">
        <v>172</v>
      </c>
      <c r="D23" s="189">
        <v>17</v>
      </c>
      <c r="E23" s="189" t="s">
        <v>173</v>
      </c>
      <c r="F23" s="233" t="s">
        <v>174</v>
      </c>
      <c r="G23" s="214">
        <v>2990</v>
      </c>
      <c r="H23" s="215">
        <f t="shared" si="0"/>
        <v>1159.7352941176471</v>
      </c>
      <c r="I23" s="216">
        <f t="shared" si="1"/>
        <v>2.9411764705882353E-2</v>
      </c>
      <c r="J23" s="215"/>
      <c r="K23" s="217"/>
      <c r="L23" s="215"/>
      <c r="M23" s="217"/>
      <c r="N23" s="218"/>
      <c r="O23" s="219"/>
      <c r="P23" s="220"/>
      <c r="Q23" s="219"/>
      <c r="R23" s="215"/>
      <c r="S23" s="217"/>
      <c r="T23" s="221">
        <f t="shared" si="7"/>
        <v>44.833333333333329</v>
      </c>
      <c r="U23" s="217">
        <v>8.3333333333333329E-2</v>
      </c>
      <c r="V23" s="222">
        <f t="shared" si="3"/>
        <v>1204.5686274509803</v>
      </c>
      <c r="W23" s="223">
        <v>0</v>
      </c>
      <c r="X23" s="257">
        <f t="shared" si="4"/>
        <v>1204.5686274509803</v>
      </c>
      <c r="Y23" s="224"/>
      <c r="Z23" s="225">
        <f t="shared" si="5"/>
        <v>100.38071895424837</v>
      </c>
      <c r="AA23" s="193"/>
      <c r="AB23" s="226">
        <v>1204.5686274509803</v>
      </c>
      <c r="AC23" s="193"/>
      <c r="AD23" s="227">
        <f t="shared" si="6"/>
        <v>0</v>
      </c>
      <c r="AE23" s="193"/>
      <c r="AF23" s="193"/>
      <c r="AG23" s="193"/>
      <c r="AH23" s="230"/>
      <c r="AI23" s="228"/>
      <c r="AJ23" s="140"/>
      <c r="AK23" s="140"/>
      <c r="AL23" s="141"/>
      <c r="AM23" s="166"/>
    </row>
    <row r="24" spans="1:39" ht="16" customHeight="1" x14ac:dyDescent="0.15">
      <c r="A24" s="211" t="s">
        <v>175</v>
      </c>
      <c r="B24" s="212" t="s">
        <v>176</v>
      </c>
      <c r="C24" s="213" t="s">
        <v>177</v>
      </c>
      <c r="D24" s="189">
        <v>18</v>
      </c>
      <c r="E24" s="189" t="s">
        <v>169</v>
      </c>
      <c r="F24" s="233" t="s">
        <v>165</v>
      </c>
      <c r="G24" s="214">
        <v>2770</v>
      </c>
      <c r="H24" s="215">
        <f t="shared" si="0"/>
        <v>1159.7352941176471</v>
      </c>
      <c r="I24" s="216">
        <f t="shared" si="1"/>
        <v>2.9411764705882353E-2</v>
      </c>
      <c r="J24" s="215"/>
      <c r="K24" s="217"/>
      <c r="L24" s="215"/>
      <c r="M24" s="217"/>
      <c r="N24" s="218"/>
      <c r="O24" s="219"/>
      <c r="P24" s="220"/>
      <c r="Q24" s="219"/>
      <c r="R24" s="215"/>
      <c r="S24" s="217"/>
      <c r="T24" s="221">
        <f t="shared" si="7"/>
        <v>44.833333333333329</v>
      </c>
      <c r="U24" s="217">
        <v>8.3333333333333329E-2</v>
      </c>
      <c r="V24" s="222">
        <f t="shared" si="3"/>
        <v>1204.5686274509803</v>
      </c>
      <c r="W24" s="223">
        <v>0</v>
      </c>
      <c r="X24" s="257">
        <f t="shared" si="4"/>
        <v>1204.5686274509803</v>
      </c>
      <c r="Y24" s="224"/>
      <c r="Z24" s="225">
        <f t="shared" si="5"/>
        <v>100.38071895424837</v>
      </c>
      <c r="AA24" s="193"/>
      <c r="AB24" s="226">
        <v>1204.5686274509803</v>
      </c>
      <c r="AC24" s="193"/>
      <c r="AD24" s="227">
        <f t="shared" si="6"/>
        <v>0</v>
      </c>
      <c r="AE24" s="193"/>
      <c r="AF24" s="193"/>
      <c r="AG24" s="193"/>
      <c r="AH24" s="230"/>
      <c r="AI24" s="228"/>
      <c r="AJ24" s="140"/>
      <c r="AK24" s="140"/>
      <c r="AL24" s="141"/>
      <c r="AM24" s="166"/>
    </row>
    <row r="25" spans="1:39" ht="16" customHeight="1" x14ac:dyDescent="0.15">
      <c r="A25" s="211" t="s">
        <v>178</v>
      </c>
      <c r="B25" s="212" t="s">
        <v>179</v>
      </c>
      <c r="C25" s="213" t="s">
        <v>180</v>
      </c>
      <c r="D25" s="189">
        <v>19</v>
      </c>
      <c r="E25" s="189" t="s">
        <v>164</v>
      </c>
      <c r="F25" s="233" t="s">
        <v>165</v>
      </c>
      <c r="G25" s="214">
        <v>2141</v>
      </c>
      <c r="H25" s="215">
        <f t="shared" si="0"/>
        <v>1159.7352941176471</v>
      </c>
      <c r="I25" s="216">
        <f t="shared" si="1"/>
        <v>2.9411764705882353E-2</v>
      </c>
      <c r="J25" s="215"/>
      <c r="K25" s="217"/>
      <c r="L25" s="215"/>
      <c r="M25" s="217"/>
      <c r="N25" s="218"/>
      <c r="O25" s="219"/>
      <c r="P25" s="220"/>
      <c r="Q25" s="219"/>
      <c r="R25" s="215"/>
      <c r="S25" s="217"/>
      <c r="T25" s="221">
        <f t="shared" si="7"/>
        <v>44.833333333333329</v>
      </c>
      <c r="U25" s="217">
        <v>8.3333333333333329E-2</v>
      </c>
      <c r="V25" s="222">
        <f t="shared" si="3"/>
        <v>1204.5686274509803</v>
      </c>
      <c r="W25" s="223">
        <v>0</v>
      </c>
      <c r="X25" s="257">
        <f t="shared" si="4"/>
        <v>1204.5686274509803</v>
      </c>
      <c r="Y25" s="224"/>
      <c r="Z25" s="225">
        <f t="shared" si="5"/>
        <v>100.38071895424837</v>
      </c>
      <c r="AA25" s="193"/>
      <c r="AB25" s="226">
        <v>1204.5686274509803</v>
      </c>
      <c r="AC25" s="193"/>
      <c r="AD25" s="227">
        <f t="shared" si="6"/>
        <v>0</v>
      </c>
      <c r="AE25" s="193"/>
      <c r="AF25" s="193"/>
      <c r="AG25" s="193"/>
      <c r="AH25" s="230"/>
      <c r="AI25" s="228"/>
      <c r="AJ25" s="140"/>
      <c r="AK25" s="140"/>
      <c r="AL25" s="141"/>
      <c r="AM25" s="166"/>
    </row>
    <row r="26" spans="1:39" ht="16" customHeight="1" x14ac:dyDescent="0.15">
      <c r="A26" s="211" t="s">
        <v>181</v>
      </c>
      <c r="B26" s="212" t="s">
        <v>182</v>
      </c>
      <c r="C26" s="213" t="s">
        <v>183</v>
      </c>
      <c r="D26" s="189">
        <v>20</v>
      </c>
      <c r="E26" s="189" t="s">
        <v>152</v>
      </c>
      <c r="F26" s="189">
        <v>5</v>
      </c>
      <c r="G26" s="214">
        <v>3493</v>
      </c>
      <c r="H26" s="215">
        <f t="shared" si="0"/>
        <v>1159.7352941176471</v>
      </c>
      <c r="I26" s="216">
        <f t="shared" si="1"/>
        <v>2.9411764705882353E-2</v>
      </c>
      <c r="J26" s="215"/>
      <c r="K26" s="217"/>
      <c r="L26" s="215"/>
      <c r="M26" s="217"/>
      <c r="N26" s="218"/>
      <c r="O26" s="219"/>
      <c r="P26" s="220"/>
      <c r="Q26" s="219"/>
      <c r="R26" s="215"/>
      <c r="S26" s="217"/>
      <c r="T26" s="221">
        <f t="shared" si="7"/>
        <v>44.833333333333329</v>
      </c>
      <c r="U26" s="217">
        <v>8.3333333333333329E-2</v>
      </c>
      <c r="V26" s="222">
        <f t="shared" si="3"/>
        <v>1204.5686274509803</v>
      </c>
      <c r="W26" s="223">
        <v>0</v>
      </c>
      <c r="X26" s="257">
        <f t="shared" si="4"/>
        <v>1204.5686274509803</v>
      </c>
      <c r="Y26" s="224"/>
      <c r="Z26" s="225">
        <f t="shared" si="5"/>
        <v>100.38071895424837</v>
      </c>
      <c r="AA26" s="193"/>
      <c r="AB26" s="226">
        <v>1204.5686274509803</v>
      </c>
      <c r="AC26" s="193"/>
      <c r="AD26" s="227">
        <f t="shared" si="6"/>
        <v>0</v>
      </c>
      <c r="AE26" s="193"/>
      <c r="AF26" s="193"/>
      <c r="AG26" s="193"/>
      <c r="AH26" s="230"/>
      <c r="AI26" s="228"/>
      <c r="AJ26" s="140"/>
      <c r="AK26" s="140"/>
      <c r="AL26" s="141"/>
      <c r="AM26" s="166"/>
    </row>
    <row r="27" spans="1:39" ht="16" customHeight="1" x14ac:dyDescent="0.15">
      <c r="A27" s="211" t="s">
        <v>184</v>
      </c>
      <c r="B27" s="212" t="s">
        <v>185</v>
      </c>
      <c r="C27" s="213" t="s">
        <v>186</v>
      </c>
      <c r="D27" s="189">
        <v>21</v>
      </c>
      <c r="E27" s="189" t="s">
        <v>187</v>
      </c>
      <c r="F27" s="189">
        <v>1</v>
      </c>
      <c r="G27" s="214">
        <f>1120+224</f>
        <v>1344</v>
      </c>
      <c r="H27" s="215">
        <f t="shared" si="0"/>
        <v>1159.7352941176471</v>
      </c>
      <c r="I27" s="216">
        <f t="shared" si="1"/>
        <v>2.9411764705882353E-2</v>
      </c>
      <c r="J27" s="215"/>
      <c r="K27" s="217"/>
      <c r="L27" s="215">
        <f>+M27*$L$42</f>
        <v>755.16441149212233</v>
      </c>
      <c r="M27" s="216">
        <f>+G27/+($G$35+$G$34+$G$33+$G$32+$G$31+$G$30+$G$29+$G$28+$G$27)</f>
        <v>8.3039851714550514E-2</v>
      </c>
      <c r="N27" s="218"/>
      <c r="O27" s="219"/>
      <c r="P27" s="220">
        <f>SUM(P$42)/9</f>
        <v>0</v>
      </c>
      <c r="Q27" s="219" t="e">
        <f>SUM(P27)/P$42</f>
        <v>#DIV/0!</v>
      </c>
      <c r="R27" s="215"/>
      <c r="S27" s="217"/>
      <c r="T27" s="221"/>
      <c r="U27" s="217"/>
      <c r="V27" s="222">
        <f t="shared" si="3"/>
        <v>1914.8997056097694</v>
      </c>
      <c r="W27" s="223">
        <v>0</v>
      </c>
      <c r="X27" s="257">
        <f t="shared" si="4"/>
        <v>1914.8997056097694</v>
      </c>
      <c r="Y27" s="224"/>
      <c r="Z27" s="225">
        <f t="shared" si="5"/>
        <v>159.57497546748078</v>
      </c>
      <c r="AA27" s="193"/>
      <c r="AB27" s="226">
        <v>1914.8997056097694</v>
      </c>
      <c r="AC27" s="193"/>
      <c r="AD27" s="227">
        <f t="shared" si="6"/>
        <v>0</v>
      </c>
      <c r="AE27" s="193"/>
      <c r="AF27" s="193"/>
      <c r="AG27" s="193"/>
      <c r="AH27" s="230"/>
      <c r="AI27" s="228"/>
      <c r="AJ27" s="140"/>
      <c r="AK27" s="140"/>
      <c r="AL27" s="141"/>
      <c r="AM27" s="166"/>
    </row>
    <row r="28" spans="1:39" ht="16" customHeight="1" x14ac:dyDescent="0.15">
      <c r="A28" s="211" t="s">
        <v>188</v>
      </c>
      <c r="B28" s="229" t="s">
        <v>189</v>
      </c>
      <c r="C28" s="213" t="s">
        <v>190</v>
      </c>
      <c r="D28" s="189">
        <v>22</v>
      </c>
      <c r="E28" s="189" t="s">
        <v>191</v>
      </c>
      <c r="F28" s="189">
        <v>3</v>
      </c>
      <c r="G28" s="214">
        <v>1691</v>
      </c>
      <c r="H28" s="215">
        <f t="shared" si="0"/>
        <v>1159.7352941176471</v>
      </c>
      <c r="I28" s="216">
        <f t="shared" si="1"/>
        <v>2.9411764705882353E-2</v>
      </c>
      <c r="J28" s="215"/>
      <c r="K28" s="217"/>
      <c r="L28" s="215">
        <f t="shared" ref="L28:L35" si="8">+M28*$L$42</f>
        <v>950.13617547111528</v>
      </c>
      <c r="M28" s="216">
        <f t="shared" ref="M28:M35" si="9">+G28/+($G$35+$G$34+$G$33+$G$32+$G$31+$G$30+$G$29+$G$28+$G$27)</f>
        <v>0.1044794562866852</v>
      </c>
      <c r="N28" s="218"/>
      <c r="O28" s="219"/>
      <c r="P28" s="220">
        <f t="shared" ref="P28:P35" si="10">SUM(P$42)/9</f>
        <v>0</v>
      </c>
      <c r="Q28" s="219" t="e">
        <f t="shared" ref="Q28:Q35" si="11">SUM(P28)/P$42</f>
        <v>#DIV/0!</v>
      </c>
      <c r="R28" s="215"/>
      <c r="S28" s="217"/>
      <c r="T28" s="221"/>
      <c r="U28" s="217"/>
      <c r="V28" s="222">
        <f t="shared" si="3"/>
        <v>2109.8714695887625</v>
      </c>
      <c r="W28" s="223">
        <v>0</v>
      </c>
      <c r="X28" s="257">
        <f t="shared" si="4"/>
        <v>2109.8714695887625</v>
      </c>
      <c r="Y28" s="224"/>
      <c r="Z28" s="225">
        <f t="shared" si="5"/>
        <v>175.82262246573021</v>
      </c>
      <c r="AA28" s="193"/>
      <c r="AB28" s="226">
        <v>2109.8714695887625</v>
      </c>
      <c r="AC28" s="193"/>
      <c r="AD28" s="227">
        <f t="shared" si="6"/>
        <v>0</v>
      </c>
      <c r="AE28" s="193"/>
      <c r="AF28" s="193"/>
      <c r="AG28" s="193"/>
      <c r="AH28" s="230"/>
      <c r="AI28" s="228"/>
      <c r="AJ28" s="140"/>
      <c r="AK28" s="140"/>
      <c r="AL28" s="141"/>
      <c r="AM28" s="166"/>
    </row>
    <row r="29" spans="1:39" ht="16" customHeight="1" x14ac:dyDescent="0.15">
      <c r="A29" s="211" t="s">
        <v>192</v>
      </c>
      <c r="B29" s="212" t="s">
        <v>193</v>
      </c>
      <c r="C29" s="213" t="s">
        <v>194</v>
      </c>
      <c r="D29" s="189">
        <v>23</v>
      </c>
      <c r="E29" s="189" t="s">
        <v>195</v>
      </c>
      <c r="F29" s="189">
        <v>2</v>
      </c>
      <c r="G29" s="214">
        <v>1915</v>
      </c>
      <c r="H29" s="215">
        <f t="shared" si="0"/>
        <v>1159.7352941176471</v>
      </c>
      <c r="I29" s="216">
        <f t="shared" si="1"/>
        <v>2.9411764705882353E-2</v>
      </c>
      <c r="J29" s="215"/>
      <c r="K29" s="217"/>
      <c r="L29" s="215">
        <f t="shared" si="8"/>
        <v>1075.9969107198024</v>
      </c>
      <c r="M29" s="216">
        <f t="shared" si="9"/>
        <v>0.11831943157244362</v>
      </c>
      <c r="N29" s="218"/>
      <c r="O29" s="219"/>
      <c r="P29" s="220">
        <f t="shared" si="10"/>
        <v>0</v>
      </c>
      <c r="Q29" s="219" t="e">
        <f t="shared" si="11"/>
        <v>#DIV/0!</v>
      </c>
      <c r="R29" s="215"/>
      <c r="S29" s="217"/>
      <c r="T29" s="221"/>
      <c r="U29" s="217"/>
      <c r="V29" s="222">
        <f t="shared" si="3"/>
        <v>2235.7322048374494</v>
      </c>
      <c r="W29" s="223">
        <v>0</v>
      </c>
      <c r="X29" s="257">
        <f t="shared" si="4"/>
        <v>2235.7322048374494</v>
      </c>
      <c r="Y29" s="224"/>
      <c r="Z29" s="225">
        <f t="shared" si="5"/>
        <v>186.31101706978745</v>
      </c>
      <c r="AA29" s="193"/>
      <c r="AB29" s="226">
        <v>2235.7322048374494</v>
      </c>
      <c r="AC29" s="193"/>
      <c r="AD29" s="227">
        <f t="shared" si="6"/>
        <v>0</v>
      </c>
      <c r="AE29" s="193"/>
      <c r="AF29" s="193"/>
      <c r="AG29" s="193"/>
      <c r="AH29" s="230"/>
      <c r="AI29" s="228"/>
      <c r="AJ29" s="140"/>
      <c r="AK29" s="140"/>
      <c r="AL29" s="141"/>
      <c r="AM29" s="166"/>
    </row>
    <row r="30" spans="1:39" ht="16" customHeight="1" x14ac:dyDescent="0.15">
      <c r="A30" s="211" t="s">
        <v>196</v>
      </c>
      <c r="B30" s="212" t="s">
        <v>197</v>
      </c>
      <c r="C30" s="213" t="s">
        <v>198</v>
      </c>
      <c r="D30" s="189">
        <v>24</v>
      </c>
      <c r="E30" s="189" t="s">
        <v>199</v>
      </c>
      <c r="F30" s="189">
        <v>1</v>
      </c>
      <c r="G30" s="214">
        <v>1166</v>
      </c>
      <c r="H30" s="215">
        <f t="shared" si="0"/>
        <v>1159.7352941176471</v>
      </c>
      <c r="I30" s="216">
        <f t="shared" si="1"/>
        <v>2.9411764705882353E-2</v>
      </c>
      <c r="J30" s="215"/>
      <c r="K30" s="217"/>
      <c r="L30" s="215">
        <f t="shared" si="8"/>
        <v>655.15007723200495</v>
      </c>
      <c r="M30" s="216">
        <f t="shared" si="9"/>
        <v>7.2042014210688912E-2</v>
      </c>
      <c r="N30" s="218">
        <f>+O30*N42</f>
        <v>272.49972750000001</v>
      </c>
      <c r="O30" s="234">
        <v>0.33333299999999999</v>
      </c>
      <c r="P30" s="220">
        <f t="shared" si="10"/>
        <v>0</v>
      </c>
      <c r="Q30" s="219" t="e">
        <f t="shared" si="11"/>
        <v>#DIV/0!</v>
      </c>
      <c r="R30" s="215"/>
      <c r="S30" s="217"/>
      <c r="T30" s="221"/>
      <c r="U30" s="217"/>
      <c r="V30" s="222">
        <f t="shared" si="3"/>
        <v>2087.385098849652</v>
      </c>
      <c r="W30" s="223">
        <v>0</v>
      </c>
      <c r="X30" s="257">
        <f t="shared" si="4"/>
        <v>2087.385098849652</v>
      </c>
      <c r="Y30" s="224"/>
      <c r="Z30" s="225">
        <f t="shared" si="5"/>
        <v>173.948758237471</v>
      </c>
      <c r="AA30" s="193"/>
      <c r="AB30" s="226">
        <v>2087.385098849652</v>
      </c>
      <c r="AC30" s="193"/>
      <c r="AD30" s="227">
        <f t="shared" si="6"/>
        <v>0</v>
      </c>
      <c r="AE30" s="193"/>
      <c r="AF30" s="193"/>
      <c r="AG30" s="193"/>
      <c r="AH30" s="230"/>
      <c r="AI30" s="228"/>
      <c r="AJ30" s="140"/>
      <c r="AK30" s="140"/>
      <c r="AL30" s="141"/>
      <c r="AM30" s="166"/>
    </row>
    <row r="31" spans="1:39" ht="16" customHeight="1" x14ac:dyDescent="0.15">
      <c r="A31" s="211" t="s">
        <v>200</v>
      </c>
      <c r="B31" s="212" t="s">
        <v>201</v>
      </c>
      <c r="C31" s="213" t="s">
        <v>202</v>
      </c>
      <c r="D31" s="189">
        <v>25</v>
      </c>
      <c r="E31" s="189" t="s">
        <v>203</v>
      </c>
      <c r="F31" s="189">
        <v>2</v>
      </c>
      <c r="G31" s="214">
        <v>1928</v>
      </c>
      <c r="H31" s="215">
        <f t="shared" si="0"/>
        <v>1159.7352941176471</v>
      </c>
      <c r="I31" s="216">
        <f t="shared" si="1"/>
        <v>2.9411764705882353E-2</v>
      </c>
      <c r="J31" s="215"/>
      <c r="K31" s="217"/>
      <c r="L31" s="215">
        <f t="shared" si="8"/>
        <v>1083.301328390485</v>
      </c>
      <c r="M31" s="216">
        <f t="shared" si="9"/>
        <v>0.11912264442384925</v>
      </c>
      <c r="N31" s="218"/>
      <c r="O31" s="234"/>
      <c r="P31" s="220">
        <f t="shared" si="10"/>
        <v>0</v>
      </c>
      <c r="Q31" s="219" t="e">
        <f t="shared" si="11"/>
        <v>#DIV/0!</v>
      </c>
      <c r="R31" s="215"/>
      <c r="S31" s="217"/>
      <c r="T31" s="221"/>
      <c r="U31" s="217"/>
      <c r="V31" s="222">
        <f t="shared" si="3"/>
        <v>2243.036622508132</v>
      </c>
      <c r="W31" s="223">
        <v>0</v>
      </c>
      <c r="X31" s="257">
        <f t="shared" si="4"/>
        <v>2243.036622508132</v>
      </c>
      <c r="Y31" s="224"/>
      <c r="Z31" s="225">
        <f t="shared" si="5"/>
        <v>186.91971854234433</v>
      </c>
      <c r="AA31" s="193"/>
      <c r="AB31" s="226">
        <v>2243.036622508132</v>
      </c>
      <c r="AC31" s="193"/>
      <c r="AD31" s="227">
        <f t="shared" si="6"/>
        <v>0</v>
      </c>
      <c r="AE31" s="193"/>
      <c r="AF31" s="193"/>
      <c r="AG31" s="193"/>
      <c r="AH31" s="230"/>
      <c r="AI31" s="228"/>
      <c r="AJ31" s="140"/>
      <c r="AK31" s="140"/>
      <c r="AL31" s="141"/>
      <c r="AM31" s="166"/>
    </row>
    <row r="32" spans="1:39" ht="16" customHeight="1" x14ac:dyDescent="0.15">
      <c r="A32" s="211" t="s">
        <v>204</v>
      </c>
      <c r="B32" s="212" t="s">
        <v>205</v>
      </c>
      <c r="C32" s="213" t="s">
        <v>206</v>
      </c>
      <c r="D32" s="189">
        <v>26</v>
      </c>
      <c r="E32" s="189" t="s">
        <v>207</v>
      </c>
      <c r="F32" s="189">
        <v>3</v>
      </c>
      <c r="G32" s="214">
        <v>2296</v>
      </c>
      <c r="H32" s="215">
        <f t="shared" si="0"/>
        <v>1159.7352941176471</v>
      </c>
      <c r="I32" s="216">
        <f t="shared" si="1"/>
        <v>2.9411764705882353E-2</v>
      </c>
      <c r="J32" s="215"/>
      <c r="K32" s="217"/>
      <c r="L32" s="215">
        <f t="shared" si="8"/>
        <v>1290.0725362990424</v>
      </c>
      <c r="M32" s="216">
        <f t="shared" si="9"/>
        <v>0.14185974667902379</v>
      </c>
      <c r="N32" s="218"/>
      <c r="O32" s="234"/>
      <c r="P32" s="220">
        <f t="shared" si="10"/>
        <v>0</v>
      </c>
      <c r="Q32" s="219" t="e">
        <f t="shared" si="11"/>
        <v>#DIV/0!</v>
      </c>
      <c r="R32" s="215"/>
      <c r="S32" s="217"/>
      <c r="T32" s="221"/>
      <c r="U32" s="217"/>
      <c r="V32" s="222">
        <f t="shared" si="3"/>
        <v>2449.8078304166893</v>
      </c>
      <c r="W32" s="223">
        <v>0</v>
      </c>
      <c r="X32" s="257">
        <f t="shared" si="4"/>
        <v>2449.8078304166893</v>
      </c>
      <c r="Y32" s="224"/>
      <c r="Z32" s="225">
        <f t="shared" si="5"/>
        <v>204.15065253472412</v>
      </c>
      <c r="AA32" s="193"/>
      <c r="AB32" s="226">
        <v>2449.8078304166893</v>
      </c>
      <c r="AC32" s="193"/>
      <c r="AD32" s="227">
        <f t="shared" si="6"/>
        <v>0</v>
      </c>
      <c r="AE32" s="193"/>
      <c r="AF32" s="193"/>
      <c r="AG32" s="193"/>
      <c r="AH32" s="230"/>
      <c r="AI32" s="228"/>
      <c r="AJ32" s="140"/>
      <c r="AK32" s="140"/>
      <c r="AL32" s="141"/>
      <c r="AM32" s="166"/>
    </row>
    <row r="33" spans="1:256" ht="16" customHeight="1" x14ac:dyDescent="0.15">
      <c r="A33" s="211" t="s">
        <v>208</v>
      </c>
      <c r="B33" s="212" t="s">
        <v>209</v>
      </c>
      <c r="C33" s="213" t="s">
        <v>210</v>
      </c>
      <c r="D33" s="189">
        <v>27</v>
      </c>
      <c r="E33" s="189" t="s">
        <v>211</v>
      </c>
      <c r="F33" s="189">
        <v>3</v>
      </c>
      <c r="G33" s="214">
        <v>2356</v>
      </c>
      <c r="H33" s="215">
        <f t="shared" si="0"/>
        <v>1159.7352941176471</v>
      </c>
      <c r="I33" s="216">
        <f t="shared" si="1"/>
        <v>2.9411764705882353E-2</v>
      </c>
      <c r="J33" s="215"/>
      <c r="K33" s="217"/>
      <c r="L33" s="215">
        <f t="shared" si="8"/>
        <v>1323.7852332406549</v>
      </c>
      <c r="M33" s="216">
        <f t="shared" si="9"/>
        <v>0.1455668829162805</v>
      </c>
      <c r="N33" s="218"/>
      <c r="O33" s="234"/>
      <c r="P33" s="220">
        <f t="shared" si="10"/>
        <v>0</v>
      </c>
      <c r="Q33" s="219" t="e">
        <f t="shared" si="11"/>
        <v>#DIV/0!</v>
      </c>
      <c r="R33" s="215"/>
      <c r="S33" s="217"/>
      <c r="T33" s="221"/>
      <c r="U33" s="217"/>
      <c r="V33" s="222">
        <f t="shared" si="3"/>
        <v>2483.5205273583019</v>
      </c>
      <c r="W33" s="223">
        <v>0</v>
      </c>
      <c r="X33" s="257">
        <f t="shared" si="4"/>
        <v>2483.5205273583019</v>
      </c>
      <c r="Y33" s="224"/>
      <c r="Z33" s="225">
        <f t="shared" si="5"/>
        <v>206.96004394652516</v>
      </c>
      <c r="AA33" s="193"/>
      <c r="AB33" s="226">
        <v>2483.5205273583019</v>
      </c>
      <c r="AC33" s="193"/>
      <c r="AD33" s="227">
        <f t="shared" si="6"/>
        <v>0</v>
      </c>
      <c r="AE33" s="193"/>
      <c r="AF33" s="193"/>
      <c r="AG33" s="193"/>
      <c r="AH33" s="230"/>
      <c r="AI33" s="228"/>
      <c r="AJ33" s="140"/>
      <c r="AK33" s="140"/>
      <c r="AL33" s="141"/>
      <c r="AM33" s="166"/>
    </row>
    <row r="34" spans="1:256" ht="16" customHeight="1" x14ac:dyDescent="0.15">
      <c r="A34" s="211" t="s">
        <v>212</v>
      </c>
      <c r="B34" s="212" t="s">
        <v>213</v>
      </c>
      <c r="C34" s="213" t="s">
        <v>214</v>
      </c>
      <c r="D34" s="189">
        <v>28</v>
      </c>
      <c r="E34" s="189" t="s">
        <v>215</v>
      </c>
      <c r="F34" s="189">
        <v>2</v>
      </c>
      <c r="G34" s="214">
        <v>1672</v>
      </c>
      <c r="H34" s="215">
        <f t="shared" si="0"/>
        <v>1159.7352941176471</v>
      </c>
      <c r="I34" s="216">
        <f t="shared" si="1"/>
        <v>2.9411764705882353E-2</v>
      </c>
      <c r="J34" s="215"/>
      <c r="K34" s="217"/>
      <c r="L34" s="215">
        <f t="shared" si="8"/>
        <v>939.46048810627133</v>
      </c>
      <c r="M34" s="216">
        <f t="shared" si="9"/>
        <v>0.10330552981155391</v>
      </c>
      <c r="N34" s="218">
        <f>+O34*N42</f>
        <v>272.49972750000001</v>
      </c>
      <c r="O34" s="234">
        <v>0.33333299999999999</v>
      </c>
      <c r="P34" s="220">
        <f t="shared" si="10"/>
        <v>0</v>
      </c>
      <c r="Q34" s="219" t="e">
        <f t="shared" si="11"/>
        <v>#DIV/0!</v>
      </c>
      <c r="R34" s="215"/>
      <c r="S34" s="217"/>
      <c r="T34" s="221"/>
      <c r="U34" s="217"/>
      <c r="V34" s="222">
        <f t="shared" si="3"/>
        <v>2371.6955097239183</v>
      </c>
      <c r="W34" s="223">
        <v>0</v>
      </c>
      <c r="X34" s="257">
        <f t="shared" si="4"/>
        <v>2371.6955097239183</v>
      </c>
      <c r="Y34" s="224"/>
      <c r="Z34" s="225">
        <f t="shared" si="5"/>
        <v>197.64129247699319</v>
      </c>
      <c r="AA34" s="193"/>
      <c r="AB34" s="226">
        <v>2371.6955097239183</v>
      </c>
      <c r="AC34" s="193"/>
      <c r="AD34" s="227">
        <f t="shared" si="6"/>
        <v>0</v>
      </c>
      <c r="AE34" s="193"/>
      <c r="AF34" s="193"/>
      <c r="AG34" s="193"/>
      <c r="AH34" s="230"/>
      <c r="AI34" s="228"/>
      <c r="AJ34" s="140"/>
      <c r="AK34" s="140"/>
      <c r="AL34" s="141"/>
      <c r="AM34" s="166"/>
    </row>
    <row r="35" spans="1:256" ht="14.5" customHeight="1" x14ac:dyDescent="0.15">
      <c r="A35" s="211" t="s">
        <v>216</v>
      </c>
      <c r="B35" s="235" t="s">
        <v>241</v>
      </c>
      <c r="C35" s="213" t="s">
        <v>217</v>
      </c>
      <c r="D35" s="189">
        <v>29</v>
      </c>
      <c r="E35" s="189" t="s">
        <v>218</v>
      </c>
      <c r="F35" s="189">
        <v>2</v>
      </c>
      <c r="G35" s="214">
        <v>1817</v>
      </c>
      <c r="H35" s="215">
        <f t="shared" si="0"/>
        <v>1159.7352941176471</v>
      </c>
      <c r="I35" s="216">
        <f t="shared" si="1"/>
        <v>2.9411764705882353E-2</v>
      </c>
      <c r="J35" s="215"/>
      <c r="K35" s="217"/>
      <c r="L35" s="215">
        <f t="shared" si="8"/>
        <v>1020.9328390485016</v>
      </c>
      <c r="M35" s="216">
        <f t="shared" si="9"/>
        <v>0.11226444238492431</v>
      </c>
      <c r="N35" s="218">
        <f>+O35*N42</f>
        <v>272.49972750000001</v>
      </c>
      <c r="O35" s="234">
        <v>0.33333299999999999</v>
      </c>
      <c r="P35" s="220">
        <f t="shared" si="10"/>
        <v>0</v>
      </c>
      <c r="Q35" s="219" t="e">
        <f t="shared" si="11"/>
        <v>#DIV/0!</v>
      </c>
      <c r="R35" s="215"/>
      <c r="S35" s="217"/>
      <c r="T35" s="221"/>
      <c r="U35" s="217"/>
      <c r="V35" s="222">
        <f t="shared" si="3"/>
        <v>2453.1678606661485</v>
      </c>
      <c r="W35" s="223">
        <v>0</v>
      </c>
      <c r="X35" s="257">
        <f t="shared" si="4"/>
        <v>2453.1678606661485</v>
      </c>
      <c r="Y35" s="224"/>
      <c r="Z35" s="225">
        <f t="shared" si="5"/>
        <v>204.43065505551237</v>
      </c>
      <c r="AA35" s="193"/>
      <c r="AB35" s="226">
        <v>2453.1678606661485</v>
      </c>
      <c r="AC35" s="193"/>
      <c r="AD35" s="227">
        <f t="shared" si="6"/>
        <v>0</v>
      </c>
      <c r="AE35" s="193"/>
      <c r="AF35" s="193"/>
      <c r="AG35" s="193"/>
      <c r="AH35" s="230"/>
      <c r="AI35" s="228"/>
      <c r="AJ35" s="140"/>
      <c r="AK35" s="140"/>
      <c r="AL35" s="141"/>
      <c r="AM35" s="166"/>
    </row>
    <row r="36" spans="1:256" ht="16" customHeight="1" x14ac:dyDescent="0.15">
      <c r="A36" s="211" t="s">
        <v>219</v>
      </c>
      <c r="B36" s="212" t="s">
        <v>162</v>
      </c>
      <c r="C36" s="213" t="s">
        <v>220</v>
      </c>
      <c r="D36" s="189">
        <v>30</v>
      </c>
      <c r="E36" s="189" t="s">
        <v>221</v>
      </c>
      <c r="F36" s="189">
        <v>3</v>
      </c>
      <c r="G36" s="214">
        <v>1891</v>
      </c>
      <c r="H36" s="215">
        <f t="shared" si="0"/>
        <v>1159.7352941176471</v>
      </c>
      <c r="I36" s="216">
        <f t="shared" si="1"/>
        <v>2.9411764705882353E-2</v>
      </c>
      <c r="J36" s="215">
        <f>+K36*$J$42</f>
        <v>717.5</v>
      </c>
      <c r="K36" s="217">
        <v>0.2</v>
      </c>
      <c r="L36" s="215"/>
      <c r="M36" s="217"/>
      <c r="N36" s="218"/>
      <c r="O36" s="219"/>
      <c r="P36" s="220"/>
      <c r="Q36" s="219"/>
      <c r="R36" s="215"/>
      <c r="S36" s="217"/>
      <c r="T36" s="221"/>
      <c r="U36" s="217"/>
      <c r="V36" s="222">
        <f t="shared" si="3"/>
        <v>1877.2352941176471</v>
      </c>
      <c r="W36" s="223">
        <v>0</v>
      </c>
      <c r="X36" s="257">
        <f t="shared" si="4"/>
        <v>1877.2352941176471</v>
      </c>
      <c r="Y36" s="224"/>
      <c r="Z36" s="225">
        <f t="shared" si="5"/>
        <v>156.43627450980392</v>
      </c>
      <c r="AA36" s="193"/>
      <c r="AB36" s="226">
        <v>1877.2352941176471</v>
      </c>
      <c r="AC36" s="193"/>
      <c r="AD36" s="227">
        <f t="shared" si="6"/>
        <v>0</v>
      </c>
      <c r="AE36" s="193"/>
      <c r="AF36" s="193"/>
      <c r="AG36" s="193"/>
      <c r="AH36" s="230"/>
      <c r="AI36" s="228"/>
      <c r="AJ36" s="140"/>
      <c r="AK36" s="140"/>
      <c r="AL36" s="141"/>
      <c r="AM36" s="166"/>
    </row>
    <row r="37" spans="1:256" ht="16" customHeight="1" x14ac:dyDescent="0.15">
      <c r="A37" s="211" t="s">
        <v>222</v>
      </c>
      <c r="B37" s="212" t="s">
        <v>242</v>
      </c>
      <c r="C37" s="213" t="s">
        <v>223</v>
      </c>
      <c r="D37" s="189">
        <v>31</v>
      </c>
      <c r="E37" s="189" t="s">
        <v>221</v>
      </c>
      <c r="F37" s="189">
        <v>3</v>
      </c>
      <c r="G37" s="214">
        <v>1837</v>
      </c>
      <c r="H37" s="215">
        <f t="shared" si="0"/>
        <v>1159.7352941176471</v>
      </c>
      <c r="I37" s="216">
        <f t="shared" si="1"/>
        <v>2.9411764705882353E-2</v>
      </c>
      <c r="J37" s="215">
        <f>+K37*$J$42</f>
        <v>717.5</v>
      </c>
      <c r="K37" s="217">
        <v>0.2</v>
      </c>
      <c r="L37" s="215"/>
      <c r="M37" s="217"/>
      <c r="N37" s="218"/>
      <c r="O37" s="219"/>
      <c r="P37" s="220"/>
      <c r="Q37" s="219"/>
      <c r="R37" s="215"/>
      <c r="S37" s="217"/>
      <c r="T37" s="221"/>
      <c r="U37" s="217"/>
      <c r="V37" s="222">
        <f t="shared" si="3"/>
        <v>1877.2352941176471</v>
      </c>
      <c r="W37" s="223">
        <v>0</v>
      </c>
      <c r="X37" s="257">
        <f t="shared" si="4"/>
        <v>1877.2352941176471</v>
      </c>
      <c r="Y37" s="224"/>
      <c r="Z37" s="225">
        <f t="shared" si="5"/>
        <v>156.43627450980392</v>
      </c>
      <c r="AA37" s="193"/>
      <c r="AB37" s="226">
        <v>1877.2352941176471</v>
      </c>
      <c r="AC37" s="193"/>
      <c r="AD37" s="227">
        <f t="shared" si="6"/>
        <v>0</v>
      </c>
      <c r="AE37" s="193"/>
      <c r="AF37" s="193"/>
      <c r="AG37" s="193"/>
      <c r="AH37" s="230"/>
      <c r="AI37" s="228"/>
      <c r="AJ37" s="140"/>
      <c r="AK37" s="140"/>
      <c r="AL37" s="141"/>
      <c r="AM37" s="166"/>
    </row>
    <row r="38" spans="1:256" ht="16" customHeight="1" x14ac:dyDescent="0.15">
      <c r="A38" s="211" t="s">
        <v>224</v>
      </c>
      <c r="B38" s="212" t="s">
        <v>225</v>
      </c>
      <c r="C38" s="213" t="s">
        <v>226</v>
      </c>
      <c r="D38" s="189">
        <v>32</v>
      </c>
      <c r="E38" s="189" t="s">
        <v>221</v>
      </c>
      <c r="F38" s="189">
        <v>3</v>
      </c>
      <c r="G38" s="214">
        <v>1792</v>
      </c>
      <c r="H38" s="215">
        <f t="shared" si="0"/>
        <v>1159.7352941176471</v>
      </c>
      <c r="I38" s="216">
        <f t="shared" si="1"/>
        <v>2.9411764705882353E-2</v>
      </c>
      <c r="J38" s="215">
        <f>+K38*$J$42</f>
        <v>717.5</v>
      </c>
      <c r="K38" s="217">
        <v>0.2</v>
      </c>
      <c r="L38" s="215"/>
      <c r="M38" s="217"/>
      <c r="N38" s="218"/>
      <c r="O38" s="219"/>
      <c r="P38" s="220"/>
      <c r="Q38" s="219"/>
      <c r="R38" s="215"/>
      <c r="S38" s="217"/>
      <c r="T38" s="221"/>
      <c r="U38" s="217"/>
      <c r="V38" s="222">
        <f t="shared" si="3"/>
        <v>1877.2352941176471</v>
      </c>
      <c r="W38" s="223">
        <v>0</v>
      </c>
      <c r="X38" s="257">
        <f t="shared" si="4"/>
        <v>1877.2352941176471</v>
      </c>
      <c r="Y38" s="224"/>
      <c r="Z38" s="225">
        <f t="shared" si="5"/>
        <v>156.43627450980392</v>
      </c>
      <c r="AA38" s="193"/>
      <c r="AB38" s="226">
        <v>1877.2352941176471</v>
      </c>
      <c r="AC38" s="193"/>
      <c r="AD38" s="227">
        <f t="shared" si="6"/>
        <v>0</v>
      </c>
      <c r="AE38" s="193"/>
      <c r="AF38" s="193"/>
      <c r="AG38" s="193"/>
      <c r="AH38" s="230"/>
      <c r="AI38" s="228"/>
      <c r="AJ38" s="140"/>
      <c r="AK38" s="140"/>
      <c r="AL38" s="141"/>
      <c r="AM38" s="166"/>
    </row>
    <row r="39" spans="1:256" ht="16" customHeight="1" x14ac:dyDescent="0.15">
      <c r="A39" s="211" t="s">
        <v>227</v>
      </c>
      <c r="B39" s="212" t="s">
        <v>228</v>
      </c>
      <c r="C39" s="213" t="s">
        <v>229</v>
      </c>
      <c r="D39" s="189">
        <v>33</v>
      </c>
      <c r="E39" s="189" t="s">
        <v>221</v>
      </c>
      <c r="F39" s="189">
        <v>3</v>
      </c>
      <c r="G39" s="214">
        <v>2315</v>
      </c>
      <c r="H39" s="215">
        <f t="shared" si="0"/>
        <v>1159.7352941176471</v>
      </c>
      <c r="I39" s="216">
        <f t="shared" si="1"/>
        <v>2.9411764705882353E-2</v>
      </c>
      <c r="J39" s="215">
        <f>+K39*$J$42</f>
        <v>717.5</v>
      </c>
      <c r="K39" s="217">
        <v>0.2</v>
      </c>
      <c r="L39" s="215"/>
      <c r="M39" s="217"/>
      <c r="N39" s="218"/>
      <c r="O39" s="219"/>
      <c r="P39" s="220"/>
      <c r="Q39" s="219"/>
      <c r="R39" s="215"/>
      <c r="S39" s="217"/>
      <c r="T39" s="221"/>
      <c r="U39" s="217"/>
      <c r="V39" s="222">
        <f t="shared" si="3"/>
        <v>1877.2352941176471</v>
      </c>
      <c r="W39" s="223">
        <v>0</v>
      </c>
      <c r="X39" s="257">
        <f t="shared" si="4"/>
        <v>1877.2352941176471</v>
      </c>
      <c r="Y39" s="224"/>
      <c r="Z39" s="225">
        <f t="shared" si="5"/>
        <v>156.43627450980392</v>
      </c>
      <c r="AA39" s="193"/>
      <c r="AB39" s="226">
        <v>1877.2352941176471</v>
      </c>
      <c r="AC39" s="193"/>
      <c r="AD39" s="227">
        <f t="shared" si="6"/>
        <v>0</v>
      </c>
      <c r="AE39" s="193"/>
      <c r="AF39" s="193"/>
      <c r="AG39" s="193"/>
      <c r="AH39" s="230"/>
      <c r="AI39" s="228"/>
      <c r="AJ39" s="140"/>
      <c r="AK39" s="140"/>
      <c r="AL39" s="141"/>
      <c r="AM39" s="166"/>
    </row>
    <row r="40" spans="1:256" ht="16" customHeight="1" x14ac:dyDescent="0.15">
      <c r="A40" s="211" t="s">
        <v>230</v>
      </c>
      <c r="B40" s="212" t="s">
        <v>231</v>
      </c>
      <c r="C40" s="213" t="s">
        <v>232</v>
      </c>
      <c r="D40" s="189">
        <v>34</v>
      </c>
      <c r="E40" s="189" t="s">
        <v>221</v>
      </c>
      <c r="F40" s="189">
        <v>3</v>
      </c>
      <c r="G40" s="214">
        <v>1598</v>
      </c>
      <c r="H40" s="215">
        <f t="shared" si="0"/>
        <v>1159.7352941176471</v>
      </c>
      <c r="I40" s="216">
        <f t="shared" si="1"/>
        <v>2.9411764705882353E-2</v>
      </c>
      <c r="J40" s="215">
        <f>+K40*$J$42</f>
        <v>717.5</v>
      </c>
      <c r="K40" s="217">
        <v>0.2</v>
      </c>
      <c r="L40" s="215"/>
      <c r="M40" s="217"/>
      <c r="N40" s="218"/>
      <c r="O40" s="219"/>
      <c r="P40" s="220"/>
      <c r="Q40" s="219"/>
      <c r="R40" s="215"/>
      <c r="S40" s="217"/>
      <c r="T40" s="221"/>
      <c r="U40" s="217"/>
      <c r="V40" s="222">
        <f t="shared" si="3"/>
        <v>1877.2352941176471</v>
      </c>
      <c r="W40" s="223">
        <v>0</v>
      </c>
      <c r="X40" s="257">
        <f t="shared" si="4"/>
        <v>1877.2352941176471</v>
      </c>
      <c r="Y40" s="224"/>
      <c r="Z40" s="225">
        <f t="shared" si="5"/>
        <v>156.43627450980392</v>
      </c>
      <c r="AA40" s="193"/>
      <c r="AB40" s="226">
        <v>1877.2352941176471</v>
      </c>
      <c r="AC40" s="193"/>
      <c r="AD40" s="227">
        <f t="shared" si="6"/>
        <v>0</v>
      </c>
      <c r="AE40" s="193"/>
      <c r="AF40" s="193"/>
      <c r="AG40" s="193"/>
      <c r="AH40" s="230"/>
      <c r="AI40" s="228"/>
      <c r="AJ40" s="143"/>
      <c r="AK40" s="143"/>
      <c r="AL40" s="163"/>
      <c r="AM40" s="166"/>
    </row>
    <row r="41" spans="1:256" ht="14.5" customHeight="1" x14ac:dyDescent="0.15">
      <c r="A41" s="236"/>
      <c r="B41" s="236"/>
      <c r="C41" s="236"/>
      <c r="D41" s="193"/>
      <c r="E41" s="193"/>
      <c r="F41" s="193"/>
      <c r="G41" s="214"/>
      <c r="H41" s="215"/>
      <c r="I41" s="216"/>
      <c r="J41" s="215"/>
      <c r="K41" s="217"/>
      <c r="L41" s="215"/>
      <c r="M41" s="217"/>
      <c r="N41" s="218"/>
      <c r="O41" s="219"/>
      <c r="P41" s="220"/>
      <c r="Q41" s="219"/>
      <c r="R41" s="215"/>
      <c r="S41" s="217"/>
      <c r="T41" s="221"/>
      <c r="U41" s="217"/>
      <c r="V41" s="237"/>
      <c r="W41" s="238"/>
      <c r="X41" s="257"/>
      <c r="Y41" s="224"/>
      <c r="Z41" s="239"/>
      <c r="AA41" s="193"/>
      <c r="AB41" s="240"/>
      <c r="AC41" s="193"/>
      <c r="AD41" s="193"/>
      <c r="AE41" s="193"/>
      <c r="AF41" s="193"/>
      <c r="AG41" s="193"/>
      <c r="AH41" s="193"/>
      <c r="AI41" s="193"/>
      <c r="AJ41" s="147"/>
      <c r="AK41" s="147"/>
      <c r="AL41" s="147"/>
      <c r="AM41" s="147"/>
    </row>
    <row r="42" spans="1:256" s="145" customFormat="1" ht="14.5" customHeight="1" thickBot="1" x14ac:dyDescent="0.2">
      <c r="A42" s="241"/>
      <c r="B42" s="241"/>
      <c r="C42" s="242"/>
      <c r="D42" s="243"/>
      <c r="E42" s="243"/>
      <c r="F42" s="244"/>
      <c r="G42" s="245">
        <v>74015</v>
      </c>
      <c r="H42" s="246">
        <f>'[1]Budget 2018-2019'!Y44</f>
        <v>39431</v>
      </c>
      <c r="I42" s="247">
        <f>SUM(I7:I41)</f>
        <v>1</v>
      </c>
      <c r="J42" s="246">
        <f>'[1]Budget 2018-2019'!Z44</f>
        <v>3587.5</v>
      </c>
      <c r="K42" s="247">
        <f>SUM(K27:K41)</f>
        <v>1</v>
      </c>
      <c r="L42" s="246">
        <f>'[1]Budget 2018-2019'!AA44</f>
        <v>9094</v>
      </c>
      <c r="M42" s="247">
        <f>SUM(M27:M41)</f>
        <v>1</v>
      </c>
      <c r="N42" s="246">
        <f>'[1]Budget 2018-2019'!AB44</f>
        <v>817.5</v>
      </c>
      <c r="O42" s="247">
        <f>SUM(O27:O41)</f>
        <v>0.99999899999999997</v>
      </c>
      <c r="P42" s="248">
        <f>SUM('[1]Budget 2017-2018'!AB48)</f>
        <v>0</v>
      </c>
      <c r="Q42" s="247" t="e">
        <f>SUM(Q27:Q41)</f>
        <v>#DIV/0!</v>
      </c>
      <c r="R42" s="246">
        <f>'[1]Budget 2018-2019'!AC44</f>
        <v>3013.5</v>
      </c>
      <c r="S42" s="249">
        <v>0.99999900000000008</v>
      </c>
      <c r="T42" s="250">
        <f>'[1]Budget 2018-2019'!AD44</f>
        <v>538</v>
      </c>
      <c r="U42" s="249">
        <v>0.99999900000000008</v>
      </c>
      <c r="V42" s="251">
        <f>SUM(V7:V41)</f>
        <v>56481.496169000005</v>
      </c>
      <c r="W42" s="252">
        <f>SUM(W7:W41)</f>
        <v>0</v>
      </c>
      <c r="X42" s="258">
        <f>SUM(X7:X41)</f>
        <v>56481.496169000005</v>
      </c>
      <c r="Y42" s="252"/>
      <c r="Z42" s="253">
        <v>4079.5205810000002</v>
      </c>
      <c r="AA42" s="244"/>
      <c r="AB42" s="254">
        <f>SUM(AB7:AB41)</f>
        <v>56481.496169000005</v>
      </c>
      <c r="AC42" s="244"/>
      <c r="AD42" s="255">
        <f>+V42/AB42-1</f>
        <v>0</v>
      </c>
      <c r="AE42" s="193"/>
      <c r="AF42" s="244"/>
      <c r="AG42" s="244"/>
      <c r="AH42" s="256">
        <f>SUM(AH7:AH41)</f>
        <v>0</v>
      </c>
      <c r="AI42" s="256">
        <f>SUM(AI7:AI41)</f>
        <v>0</v>
      </c>
      <c r="AJ42" s="164"/>
      <c r="AK42" s="164"/>
      <c r="AL42" s="165"/>
      <c r="AM42" s="147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  <c r="IT42" s="144"/>
      <c r="IU42" s="144"/>
      <c r="IV42" s="144"/>
    </row>
    <row r="43" spans="1:256" s="145" customFormat="1" ht="14.5" customHeight="1" thickTop="1" x14ac:dyDescent="0.15">
      <c r="A43" s="146"/>
      <c r="B43" s="146"/>
      <c r="C43" s="146"/>
      <c r="D43" s="147"/>
      <c r="E43" s="147"/>
      <c r="F43" s="147"/>
      <c r="G43" s="148"/>
      <c r="H43" s="149"/>
      <c r="I43" s="149"/>
      <c r="J43" s="149"/>
      <c r="K43" s="150"/>
      <c r="L43" s="149"/>
      <c r="M43" s="150"/>
      <c r="N43" s="151"/>
      <c r="O43" s="147"/>
      <c r="P43" s="149"/>
      <c r="Q43" s="150"/>
      <c r="R43" s="150"/>
      <c r="S43" s="150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144"/>
      <c r="FM43" s="144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144"/>
      <c r="GA43" s="144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144"/>
      <c r="GO43" s="144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144"/>
      <c r="HC43" s="144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144"/>
      <c r="HQ43" s="144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144"/>
      <c r="IE43" s="144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144"/>
      <c r="IS43" s="144"/>
      <c r="IT43" s="144"/>
      <c r="IU43" s="144"/>
      <c r="IV43" s="144"/>
    </row>
    <row r="44" spans="1:256" s="145" customFormat="1" ht="14.5" customHeight="1" x14ac:dyDescent="0.15">
      <c r="A44" s="152"/>
      <c r="B44" s="152"/>
      <c r="C44" s="146"/>
      <c r="D44" s="147"/>
      <c r="E44" s="153" t="s">
        <v>20</v>
      </c>
      <c r="F44" s="146"/>
      <c r="G44" s="148"/>
      <c r="H44" s="149"/>
      <c r="I44" s="149"/>
      <c r="J44" s="149"/>
      <c r="K44" s="150"/>
      <c r="L44" s="149"/>
      <c r="M44" s="150"/>
      <c r="N44" s="151"/>
      <c r="O44" s="147"/>
      <c r="P44" s="149"/>
      <c r="Q44" s="150"/>
      <c r="R44" s="150"/>
      <c r="S44" s="150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  <c r="IR44" s="144"/>
      <c r="IS44" s="144"/>
      <c r="IT44" s="144"/>
      <c r="IU44" s="144"/>
      <c r="IV44" s="144"/>
    </row>
    <row r="45" spans="1:256" s="145" customFormat="1" ht="14.5" customHeight="1" x14ac:dyDescent="0.15">
      <c r="A45" s="152"/>
      <c r="B45" s="152"/>
      <c r="C45" s="146"/>
      <c r="D45" s="147"/>
      <c r="E45" s="142" t="s">
        <v>233</v>
      </c>
      <c r="F45" s="154" t="s">
        <v>234</v>
      </c>
      <c r="G45" s="148"/>
      <c r="H45" s="149"/>
      <c r="I45" s="149"/>
      <c r="J45" s="149"/>
      <c r="K45" s="150"/>
      <c r="L45" s="149"/>
      <c r="M45" s="150"/>
      <c r="N45" s="151"/>
      <c r="O45" s="147"/>
      <c r="P45" s="149"/>
      <c r="Q45" s="150"/>
      <c r="R45" s="150"/>
      <c r="S45" s="150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</row>
    <row r="46" spans="1:256" s="145" customFormat="1" ht="14.5" customHeight="1" x14ac:dyDescent="0.15">
      <c r="A46" s="146"/>
      <c r="B46" s="146"/>
      <c r="C46" s="146"/>
      <c r="D46" s="155"/>
      <c r="E46" s="155"/>
      <c r="F46" s="155"/>
      <c r="G46" s="148"/>
      <c r="H46" s="149"/>
      <c r="I46" s="149"/>
      <c r="J46" s="149"/>
      <c r="K46" s="150"/>
      <c r="L46" s="149"/>
      <c r="M46" s="150"/>
      <c r="N46" s="151"/>
      <c r="O46" s="147"/>
      <c r="P46" s="149"/>
      <c r="Q46" s="150"/>
      <c r="R46" s="150"/>
      <c r="S46" s="150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4"/>
      <c r="EO46" s="144"/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4"/>
      <c r="FF46" s="144"/>
      <c r="FG46" s="144"/>
      <c r="FH46" s="144"/>
      <c r="FI46" s="144"/>
      <c r="FJ46" s="144"/>
      <c r="FK46" s="144"/>
      <c r="FL46" s="144"/>
      <c r="FM46" s="144"/>
      <c r="FN46" s="144"/>
      <c r="FO46" s="144"/>
      <c r="FP46" s="144"/>
      <c r="FQ46" s="144"/>
      <c r="FR46" s="144"/>
      <c r="FS46" s="144"/>
      <c r="FT46" s="144"/>
      <c r="FU46" s="144"/>
      <c r="FV46" s="144"/>
      <c r="FW46" s="144"/>
      <c r="FX46" s="144"/>
      <c r="FY46" s="144"/>
      <c r="FZ46" s="144"/>
      <c r="GA46" s="144"/>
      <c r="GB46" s="144"/>
      <c r="GC46" s="144"/>
      <c r="GD46" s="144"/>
      <c r="GE46" s="144"/>
      <c r="GF46" s="144"/>
      <c r="GG46" s="144"/>
      <c r="GH46" s="144"/>
      <c r="GI46" s="144"/>
      <c r="GJ46" s="144"/>
      <c r="GK46" s="144"/>
      <c r="GL46" s="144"/>
      <c r="GM46" s="144"/>
      <c r="GN46" s="144"/>
      <c r="GO46" s="144"/>
      <c r="GP46" s="144"/>
      <c r="GQ46" s="144"/>
      <c r="GR46" s="144"/>
      <c r="GS46" s="144"/>
      <c r="GT46" s="144"/>
      <c r="GU46" s="144"/>
      <c r="GV46" s="144"/>
      <c r="GW46" s="144"/>
      <c r="GX46" s="144"/>
      <c r="GY46" s="144"/>
      <c r="GZ46" s="144"/>
      <c r="HA46" s="144"/>
      <c r="HB46" s="144"/>
      <c r="HC46" s="144"/>
      <c r="HD46" s="144"/>
      <c r="HE46" s="144"/>
      <c r="HF46" s="144"/>
      <c r="HG46" s="144"/>
      <c r="HH46" s="144"/>
      <c r="HI46" s="144"/>
      <c r="HJ46" s="144"/>
      <c r="HK46" s="144"/>
      <c r="HL46" s="144"/>
      <c r="HM46" s="144"/>
      <c r="HN46" s="144"/>
      <c r="HO46" s="144"/>
      <c r="HP46" s="144"/>
      <c r="HQ46" s="144"/>
      <c r="HR46" s="144"/>
      <c r="HS46" s="144"/>
      <c r="HT46" s="144"/>
      <c r="HU46" s="144"/>
      <c r="HV46" s="144"/>
      <c r="HW46" s="144"/>
      <c r="HX46" s="144"/>
      <c r="HY46" s="144"/>
      <c r="HZ46" s="144"/>
      <c r="IA46" s="144"/>
      <c r="IB46" s="144"/>
      <c r="IC46" s="144"/>
      <c r="ID46" s="144"/>
      <c r="IE46" s="144"/>
      <c r="IF46" s="144"/>
      <c r="IG46" s="144"/>
      <c r="IH46" s="144"/>
      <c r="II46" s="144"/>
      <c r="IJ46" s="144"/>
      <c r="IK46" s="144"/>
      <c r="IL46" s="144"/>
      <c r="IM46" s="144"/>
      <c r="IN46" s="144"/>
      <c r="IO46" s="144"/>
      <c r="IP46" s="144"/>
      <c r="IQ46" s="144"/>
      <c r="IR46" s="144"/>
      <c r="IS46" s="144"/>
      <c r="IT46" s="144"/>
      <c r="IU46" s="144"/>
      <c r="IV46" s="144"/>
    </row>
    <row r="47" spans="1:256" s="145" customFormat="1" ht="14.5" customHeight="1" x14ac:dyDescent="0.15">
      <c r="A47" s="146"/>
      <c r="B47" s="146"/>
      <c r="C47" s="146"/>
      <c r="D47" s="147"/>
      <c r="E47" s="153" t="s">
        <v>235</v>
      </c>
      <c r="F47" s="156"/>
      <c r="G47" s="148"/>
      <c r="H47" s="149"/>
      <c r="I47" s="149"/>
      <c r="J47" s="149"/>
      <c r="K47" s="150"/>
      <c r="L47" s="149"/>
      <c r="M47" s="150"/>
      <c r="N47" s="151"/>
      <c r="O47" s="147"/>
      <c r="P47" s="149"/>
      <c r="Q47" s="150"/>
      <c r="R47" s="150"/>
      <c r="S47" s="150"/>
      <c r="T47" s="147"/>
      <c r="U47" s="147"/>
      <c r="V47" s="147"/>
      <c r="W47" s="147"/>
      <c r="X47" s="147"/>
      <c r="Y47" s="147"/>
      <c r="Z47" s="147"/>
      <c r="AA47" s="147"/>
      <c r="AB47" s="147"/>
      <c r="AC47" s="152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  <c r="IT47" s="144"/>
      <c r="IU47" s="144"/>
      <c r="IV47" s="144"/>
    </row>
    <row r="48" spans="1:256" s="145" customFormat="1" ht="14.5" customHeight="1" x14ac:dyDescent="0.15">
      <c r="A48" s="156"/>
      <c r="B48" s="156"/>
      <c r="C48" s="156"/>
      <c r="D48" s="156"/>
      <c r="E48" s="157" t="s">
        <v>236</v>
      </c>
      <c r="F48" s="158">
        <v>48621</v>
      </c>
      <c r="G48" s="151"/>
      <c r="H48" s="151"/>
      <c r="I48" s="151"/>
      <c r="J48" s="159"/>
      <c r="K48" s="159"/>
      <c r="L48" s="151"/>
      <c r="M48" s="160"/>
      <c r="N48" s="151"/>
      <c r="O48" s="152"/>
      <c r="P48" s="159"/>
      <c r="Q48" s="159"/>
      <c r="R48" s="159"/>
      <c r="S48" s="159"/>
      <c r="T48" s="152"/>
      <c r="U48" s="152"/>
      <c r="V48" s="152"/>
      <c r="W48" s="152"/>
      <c r="X48" s="161"/>
      <c r="Y48" s="152"/>
      <c r="Z48" s="152"/>
      <c r="AA48" s="152"/>
      <c r="AB48" s="152"/>
      <c r="AC48" s="147"/>
      <c r="AD48" s="152"/>
      <c r="AE48" s="152"/>
      <c r="AF48" s="152"/>
      <c r="AG48" s="152"/>
      <c r="AH48" s="152"/>
      <c r="AI48" s="152"/>
      <c r="AJ48" s="147"/>
      <c r="AK48" s="147"/>
      <c r="AL48" s="147"/>
      <c r="AM48" s="147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  <c r="EN48" s="144"/>
      <c r="EO48" s="144"/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4"/>
      <c r="FF48" s="144"/>
      <c r="FG48" s="144"/>
      <c r="FH48" s="144"/>
      <c r="FI48" s="144"/>
      <c r="FJ48" s="144"/>
      <c r="FK48" s="144"/>
      <c r="FL48" s="144"/>
      <c r="FM48" s="144"/>
      <c r="FN48" s="144"/>
      <c r="FO48" s="144"/>
      <c r="FP48" s="144"/>
      <c r="FQ48" s="144"/>
      <c r="FR48" s="144"/>
      <c r="FS48" s="144"/>
      <c r="FT48" s="144"/>
      <c r="FU48" s="144"/>
      <c r="FV48" s="144"/>
      <c r="FW48" s="144"/>
      <c r="FX48" s="144"/>
      <c r="FY48" s="144"/>
      <c r="FZ48" s="144"/>
      <c r="GA48" s="144"/>
      <c r="GB48" s="144"/>
      <c r="GC48" s="144"/>
      <c r="GD48" s="144"/>
      <c r="GE48" s="144"/>
      <c r="GF48" s="144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44"/>
      <c r="GY48" s="144"/>
      <c r="GZ48" s="144"/>
      <c r="HA48" s="144"/>
      <c r="HB48" s="144"/>
      <c r="HC48" s="144"/>
      <c r="HD48" s="144"/>
      <c r="HE48" s="144"/>
      <c r="HF48" s="144"/>
      <c r="HG48" s="144"/>
      <c r="HH48" s="144"/>
      <c r="HI48" s="144"/>
      <c r="HJ48" s="144"/>
      <c r="HK48" s="144"/>
      <c r="HL48" s="144"/>
      <c r="HM48" s="144"/>
      <c r="HN48" s="144"/>
      <c r="HO48" s="144"/>
      <c r="HP48" s="144"/>
      <c r="HQ48" s="144"/>
      <c r="HR48" s="144"/>
      <c r="HS48" s="144"/>
      <c r="HT48" s="144"/>
      <c r="HU48" s="144"/>
      <c r="HV48" s="144"/>
      <c r="HW48" s="144"/>
      <c r="HX48" s="144"/>
      <c r="HY48" s="144"/>
      <c r="HZ48" s="144"/>
      <c r="IA48" s="144"/>
      <c r="IB48" s="144"/>
      <c r="IC48" s="144"/>
      <c r="ID48" s="144"/>
      <c r="IE48" s="144"/>
      <c r="IF48" s="144"/>
      <c r="IG48" s="144"/>
      <c r="IH48" s="144"/>
      <c r="II48" s="144"/>
      <c r="IJ48" s="144"/>
      <c r="IK48" s="144"/>
      <c r="IL48" s="144"/>
      <c r="IM48" s="144"/>
      <c r="IN48" s="144"/>
      <c r="IO48" s="144"/>
      <c r="IP48" s="144"/>
      <c r="IQ48" s="144"/>
      <c r="IR48" s="144"/>
      <c r="IS48" s="144"/>
      <c r="IT48" s="144"/>
      <c r="IU48" s="144"/>
      <c r="IV48" s="144"/>
    </row>
    <row r="49" spans="1:256" s="145" customFormat="1" ht="14.5" customHeight="1" x14ac:dyDescent="0.15">
      <c r="A49" s="147"/>
      <c r="B49" s="147"/>
      <c r="C49" s="147"/>
      <c r="D49" s="147"/>
      <c r="E49" s="157" t="s">
        <v>237</v>
      </c>
      <c r="F49" s="158">
        <v>15961</v>
      </c>
      <c r="G49" s="147"/>
      <c r="H49" s="152"/>
      <c r="I49" s="152"/>
      <c r="J49" s="155"/>
      <c r="K49" s="150"/>
      <c r="L49" s="152"/>
      <c r="M49" s="150"/>
      <c r="N49" s="147"/>
      <c r="O49" s="147"/>
      <c r="P49" s="155"/>
      <c r="Q49" s="150"/>
      <c r="R49" s="150"/>
      <c r="S49" s="150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  <c r="IT49" s="144"/>
      <c r="IU49" s="144"/>
      <c r="IV49" s="144"/>
    </row>
    <row r="50" spans="1:256" s="145" customFormat="1" ht="14.5" customHeight="1" x14ac:dyDescent="0.15">
      <c r="A50" s="147"/>
      <c r="B50" s="147"/>
      <c r="C50" s="147"/>
      <c r="D50" s="147"/>
      <c r="E50" s="157" t="s">
        <v>238</v>
      </c>
      <c r="F50" s="158">
        <v>9433</v>
      </c>
      <c r="G50" s="147"/>
      <c r="H50" s="152"/>
      <c r="I50" s="152"/>
      <c r="J50" s="155"/>
      <c r="K50" s="150"/>
      <c r="L50" s="152"/>
      <c r="M50" s="150"/>
      <c r="N50" s="147"/>
      <c r="O50" s="147"/>
      <c r="P50" s="155"/>
      <c r="Q50" s="150"/>
      <c r="R50" s="150"/>
      <c r="S50" s="150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  <c r="IT50" s="144"/>
      <c r="IU50" s="144"/>
      <c r="IV50" s="144"/>
    </row>
    <row r="51" spans="1:256" s="145" customFormat="1" ht="14.5" customHeight="1" x14ac:dyDescent="0.15">
      <c r="A51" s="147"/>
      <c r="B51" s="147"/>
      <c r="C51" s="147"/>
      <c r="D51" s="147"/>
      <c r="E51" s="153" t="s">
        <v>52</v>
      </c>
      <c r="F51" s="162">
        <v>74015</v>
      </c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  <c r="IT51" s="144"/>
      <c r="IU51" s="144"/>
      <c r="IV51" s="144"/>
    </row>
    <row r="52" spans="1:256" s="145" customFormat="1" ht="14.5" customHeight="1" x14ac:dyDescent="0.15">
      <c r="A52" s="147"/>
      <c r="B52" s="147"/>
      <c r="C52" s="147"/>
      <c r="D52" s="147"/>
      <c r="E52" s="147"/>
      <c r="F52" s="147"/>
      <c r="G52" s="147"/>
      <c r="H52" s="152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4"/>
      <c r="FC52" s="144"/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4"/>
      <c r="GB52" s="144"/>
      <c r="GC52" s="144"/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44"/>
      <c r="GY52" s="144"/>
      <c r="GZ52" s="144"/>
      <c r="HA52" s="144"/>
      <c r="HB52" s="144"/>
      <c r="HC52" s="144"/>
      <c r="HD52" s="144"/>
      <c r="HE52" s="144"/>
      <c r="HF52" s="144"/>
      <c r="HG52" s="144"/>
      <c r="HH52" s="144"/>
      <c r="HI52" s="144"/>
      <c r="HJ52" s="144"/>
      <c r="HK52" s="144"/>
      <c r="HL52" s="144"/>
      <c r="HM52" s="144"/>
      <c r="HN52" s="144"/>
      <c r="HO52" s="144"/>
      <c r="HP52" s="144"/>
      <c r="HQ52" s="144"/>
      <c r="HR52" s="144"/>
      <c r="HS52" s="144"/>
      <c r="HT52" s="144"/>
      <c r="HU52" s="144"/>
      <c r="HV52" s="144"/>
      <c r="HW52" s="144"/>
      <c r="HX52" s="144"/>
      <c r="HY52" s="144"/>
      <c r="HZ52" s="144"/>
      <c r="IA52" s="144"/>
      <c r="IB52" s="144"/>
      <c r="IC52" s="144"/>
      <c r="ID52" s="144"/>
      <c r="IE52" s="144"/>
      <c r="IF52" s="144"/>
      <c r="IG52" s="144"/>
      <c r="IH52" s="144"/>
      <c r="II52" s="144"/>
      <c r="IJ52" s="144"/>
      <c r="IK52" s="144"/>
      <c r="IL52" s="144"/>
      <c r="IM52" s="144"/>
      <c r="IN52" s="144"/>
      <c r="IO52" s="144"/>
      <c r="IP52" s="144"/>
      <c r="IQ52" s="144"/>
      <c r="IR52" s="144"/>
      <c r="IS52" s="144"/>
      <c r="IT52" s="144"/>
      <c r="IU52" s="144"/>
      <c r="IV52" s="144"/>
    </row>
    <row r="53" spans="1:256" s="145" customFormat="1" ht="14.5" customHeight="1" x14ac:dyDescent="0.15">
      <c r="A53" s="155"/>
      <c r="B53" s="155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  <c r="IT53" s="144"/>
      <c r="IU53" s="144"/>
      <c r="IV53" s="144"/>
    </row>
  </sheetData>
  <mergeCells count="6">
    <mergeCell ref="H5:I5"/>
    <mergeCell ref="R5:S5"/>
    <mergeCell ref="P5:Q5"/>
    <mergeCell ref="N5:O5"/>
    <mergeCell ref="L5:M5"/>
    <mergeCell ref="J5:K5"/>
  </mergeCells>
  <conditionalFormatting sqref="X1:X6 X41:X42 X48">
    <cfRule type="cellIs" dxfId="0" priority="1" stopIfTrue="1" operator="lessThan">
      <formula>0</formula>
    </cfRule>
  </conditionalFormatting>
  <pageMargins left="0.75" right="0.75" top="1" bottom="1" header="0.3" footer="0.3"/>
  <pageSetup paperSize="9" scale="10"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2019-2020 FINAL</vt:lpstr>
      <vt:lpstr>Notes</vt:lpstr>
      <vt:lpstr>Budget 2017-2018</vt:lpstr>
      <vt:lpstr>Assumptions</vt:lpstr>
      <vt:lpstr>Allocation 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2019-05-29T12:00:54Z</cp:lastPrinted>
  <dcterms:created xsi:type="dcterms:W3CDTF">2019-05-02T21:45:33Z</dcterms:created>
  <dcterms:modified xsi:type="dcterms:W3CDTF">2020-05-12T09:26:24Z</dcterms:modified>
</cp:coreProperties>
</file>